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codeName="ThisWorkbook"/>
  <mc:AlternateContent xmlns:mc="http://schemas.openxmlformats.org/markup-compatibility/2006">
    <mc:Choice Requires="x15">
      <x15ac:absPath xmlns:x15ac="http://schemas.microsoft.com/office/spreadsheetml/2010/11/ac" url="https://d.docs.live.net/15eece36e62117f6/Documents/Finance/Le journal d'un investisseur/formation et document/"/>
    </mc:Choice>
  </mc:AlternateContent>
  <xr:revisionPtr revIDLastSave="1460" documentId="8_{FA5A5FA9-F69F-487D-A153-4E82A8E321ED}" xr6:coauthVersionLast="47" xr6:coauthVersionMax="47" xr10:uidLastSave="{4B11AFD2-0148-4425-936F-306B446AC7D1}"/>
  <bookViews>
    <workbookView xWindow="-120" yWindow="-120" windowWidth="29040" windowHeight="15840" activeTab="4" xr2:uid="{00000000-000D-0000-FFFF-FFFF00000000}"/>
  </bookViews>
  <sheets>
    <sheet name="Instructions" sheetId="32" r:id="rId1"/>
    <sheet name="Indices" sheetId="22" r:id="rId2"/>
    <sheet name="Rendements" sheetId="9" r:id="rId3"/>
    <sheet name="Gains et contributions" sheetId="33" r:id="rId4"/>
    <sheet name="TRI 2021" sheetId="16" r:id="rId5"/>
    <sheet name="TRI 2020" sheetId="15" r:id="rId6"/>
    <sheet name="TRI 2019" sheetId="14" r:id="rId7"/>
    <sheet name="TRI 2018" sheetId="23" r:id="rId8"/>
    <sheet name="TRI 2017" sheetId="26" r:id="rId9"/>
    <sheet name="TRI 2016" sheetId="27" r:id="rId10"/>
    <sheet name="TRI 2015" sheetId="28" r:id="rId11"/>
    <sheet name="TRI 2014" sheetId="29" r:id="rId12"/>
    <sheet name="TRI 2013" sheetId="30" r:id="rId13"/>
    <sheet name="TRI 2012" sheetId="24" r:id="rId14"/>
    <sheet name="TRI 2011" sheetId="25" r:id="rId15"/>
    <sheet name="TRI 2010" sheetId="31" r:id="rId1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1" i="15" l="1"/>
  <c r="C17" i="9"/>
  <c r="D2" i="16" l="1"/>
  <c r="E10" i="33"/>
  <c r="F10" i="33" s="1"/>
  <c r="E2" i="9"/>
  <c r="E3" i="9"/>
  <c r="E4" i="9"/>
  <c r="E5" i="9"/>
  <c r="E6" i="9"/>
  <c r="E7" i="9"/>
  <c r="E8" i="9"/>
  <c r="D16" i="15"/>
  <c r="C12" i="33"/>
  <c r="E12" i="9" s="1"/>
  <c r="C10" i="33"/>
  <c r="C11" i="33"/>
  <c r="C8" i="33"/>
  <c r="C7" i="33"/>
  <c r="C6" i="33"/>
  <c r="C5" i="33"/>
  <c r="C4" i="33"/>
  <c r="C3" i="33"/>
  <c r="C2" i="33"/>
  <c r="D16" i="14"/>
  <c r="D14" i="15"/>
  <c r="D16" i="16"/>
  <c r="G1" i="23"/>
  <c r="G11" i="33"/>
  <c r="C6" i="9"/>
  <c r="C8" i="9"/>
  <c r="C11" i="9"/>
  <c r="B3" i="33"/>
  <c r="E53" i="33"/>
  <c r="E54" i="33" s="1"/>
  <c r="E55" i="33" s="1"/>
  <c r="E56" i="33" s="1"/>
  <c r="E57" i="33" s="1"/>
  <c r="E58" i="33" s="1"/>
  <c r="E59" i="33" s="1"/>
  <c r="E60" i="33" s="1"/>
  <c r="E61" i="33" s="1"/>
  <c r="E62" i="33" s="1"/>
  <c r="E63" i="33" s="1"/>
  <c r="E64" i="33" s="1"/>
  <c r="E65" i="33" s="1"/>
  <c r="E66" i="33" s="1"/>
  <c r="E67" i="33" s="1"/>
  <c r="E68" i="33" s="1"/>
  <c r="E69" i="33" s="1"/>
  <c r="E70" i="33" s="1"/>
  <c r="E71" i="33" s="1"/>
  <c r="E72" i="33" s="1"/>
  <c r="E73" i="33" s="1"/>
  <c r="E74" i="33" s="1"/>
  <c r="E75" i="33" s="1"/>
  <c r="E76" i="33" s="1"/>
  <c r="E77" i="33" s="1"/>
  <c r="E78" i="33" s="1"/>
  <c r="B12" i="33"/>
  <c r="E12" i="33" s="1"/>
  <c r="G12" i="33" s="1"/>
  <c r="B11" i="33"/>
  <c r="E11" i="33" s="1"/>
  <c r="F11" i="33" s="1"/>
  <c r="B10" i="33"/>
  <c r="B9" i="33"/>
  <c r="D9" i="33" s="1"/>
  <c r="B8" i="33"/>
  <c r="E8" i="33" s="1"/>
  <c r="G8" i="33" s="1"/>
  <c r="B7" i="33"/>
  <c r="E7" i="33" s="1"/>
  <c r="F7" i="33" s="1"/>
  <c r="B6" i="33"/>
  <c r="E6" i="33" s="1"/>
  <c r="G6" i="33" s="1"/>
  <c r="B5" i="33"/>
  <c r="E5" i="33" s="1"/>
  <c r="F5" i="33" s="1"/>
  <c r="B4" i="33"/>
  <c r="E4" i="33" s="1"/>
  <c r="F4" i="33" s="1"/>
  <c r="B2" i="33"/>
  <c r="E11" i="9" l="1"/>
  <c r="G10" i="33"/>
  <c r="D4" i="33"/>
  <c r="G7" i="33"/>
  <c r="G5" i="33"/>
  <c r="G4" i="33"/>
  <c r="D7" i="33"/>
  <c r="E9" i="33"/>
  <c r="D2" i="33"/>
  <c r="F8" i="33"/>
  <c r="F6" i="33"/>
  <c r="F12" i="33"/>
  <c r="D5" i="33"/>
  <c r="D3" i="33"/>
  <c r="D8" i="33"/>
  <c r="E2" i="33"/>
  <c r="E3" i="33"/>
  <c r="D6" i="33"/>
  <c r="B13" i="33"/>
  <c r="E13" i="33" s="1"/>
  <c r="B3" i="9"/>
  <c r="C3" i="9" s="1"/>
  <c r="B4" i="9"/>
  <c r="C4" i="9" s="1"/>
  <c r="D4" i="9" s="1"/>
  <c r="B5" i="9"/>
  <c r="C5" i="9" s="1"/>
  <c r="D5" i="9" s="1"/>
  <c r="B6" i="9"/>
  <c r="B7" i="9"/>
  <c r="C7" i="9" s="1"/>
  <c r="D7" i="9" s="1"/>
  <c r="B8" i="9"/>
  <c r="D8" i="9" s="1"/>
  <c r="G1" i="31"/>
  <c r="B2" i="9" s="1"/>
  <c r="F2" i="9" s="1"/>
  <c r="G1" i="25"/>
  <c r="G1" i="24"/>
  <c r="G1" i="30"/>
  <c r="G1" i="29"/>
  <c r="G1" i="28"/>
  <c r="G1" i="27"/>
  <c r="G1" i="26"/>
  <c r="C9" i="33" s="1"/>
  <c r="B10" i="9"/>
  <c r="G1" i="14"/>
  <c r="B11" i="9" s="1"/>
  <c r="D2" i="15"/>
  <c r="B12" i="9"/>
  <c r="G1" i="16"/>
  <c r="D6" i="9"/>
  <c r="E9" i="9" l="1"/>
  <c r="B9" i="9"/>
  <c r="C9" i="9" s="1"/>
  <c r="D9" i="9" s="1"/>
  <c r="F13" i="33"/>
  <c r="B13" i="9"/>
  <c r="C13" i="33"/>
  <c r="E13" i="9" s="1"/>
  <c r="C12" i="9"/>
  <c r="D12" i="9" s="1"/>
  <c r="G13" i="33"/>
  <c r="C10" i="9"/>
  <c r="F9" i="33"/>
  <c r="G9" i="33"/>
  <c r="F3" i="33"/>
  <c r="G3" i="33"/>
  <c r="F2" i="33"/>
  <c r="G2" i="33"/>
  <c r="F3" i="9"/>
  <c r="F4" i="9" s="1"/>
  <c r="F5" i="9" s="1"/>
  <c r="F6" i="9" s="1"/>
  <c r="F7" i="9" s="1"/>
  <c r="F8" i="9" s="1"/>
  <c r="C13" i="9"/>
  <c r="D13" i="9" s="1"/>
  <c r="D11" i="9"/>
  <c r="C2" i="9"/>
  <c r="D3" i="9"/>
  <c r="F9" i="9" l="1"/>
  <c r="F10" i="9" s="1"/>
  <c r="D10" i="33" s="1"/>
  <c r="E10" i="9" s="1"/>
  <c r="B21" i="9"/>
  <c r="B20" i="9"/>
  <c r="B19" i="9"/>
  <c r="B18" i="9"/>
  <c r="C18" i="9"/>
  <c r="D18" i="9" s="1"/>
  <c r="C19" i="9"/>
  <c r="D19" i="9" s="1"/>
  <c r="C20" i="9"/>
  <c r="D20" i="9" s="1"/>
  <c r="C21" i="9"/>
  <c r="D10" i="9"/>
  <c r="D2" i="9"/>
  <c r="H2" i="9"/>
  <c r="H3" i="9" s="1"/>
  <c r="H4" i="9" s="1"/>
  <c r="H5" i="9" s="1"/>
  <c r="H6" i="9" s="1"/>
  <c r="H7" i="9" s="1"/>
  <c r="H8" i="9" s="1"/>
  <c r="H9" i="9" s="1"/>
  <c r="H10" i="9" s="1"/>
  <c r="H11" i="9" s="1"/>
  <c r="H12" i="9" s="1"/>
  <c r="H13" i="9" s="1"/>
  <c r="G2" i="9"/>
  <c r="F11" i="9" l="1"/>
  <c r="D11" i="33" s="1"/>
  <c r="D21" i="9"/>
  <c r="C22" i="9"/>
  <c r="G3" i="9"/>
  <c r="G4" i="9" s="1"/>
  <c r="G5" i="9" s="1"/>
  <c r="G6" i="9" s="1"/>
  <c r="G7" i="9" s="1"/>
  <c r="G8" i="9" s="1"/>
  <c r="G9" i="9" s="1"/>
  <c r="G10" i="9" s="1"/>
  <c r="F12" i="9" l="1"/>
  <c r="D12" i="33" s="1"/>
  <c r="G11" i="9"/>
  <c r="F13" i="9" l="1"/>
  <c r="B22" i="9" s="1"/>
  <c r="D22" i="9" s="1"/>
  <c r="G12" i="9"/>
  <c r="D13" i="33" l="1"/>
  <c r="G13" i="9"/>
</calcChain>
</file>

<file path=xl/sharedStrings.xml><?xml version="1.0" encoding="utf-8"?>
<sst xmlns="http://schemas.openxmlformats.org/spreadsheetml/2006/main" count="280" uniqueCount="99">
  <si>
    <t>Montant investi fin</t>
  </si>
  <si>
    <t>Montant investi début</t>
  </si>
  <si>
    <t>Janvier</t>
  </si>
  <si>
    <t>Février</t>
  </si>
  <si>
    <t>Mars</t>
  </si>
  <si>
    <t>Avril</t>
  </si>
  <si>
    <t>Mai</t>
  </si>
  <si>
    <t>Juin</t>
  </si>
  <si>
    <t>Juillet</t>
  </si>
  <si>
    <t>Août</t>
  </si>
  <si>
    <t>Septembre</t>
  </si>
  <si>
    <t>Octobre</t>
  </si>
  <si>
    <t>Novembre</t>
  </si>
  <si>
    <t>Décembre</t>
  </si>
  <si>
    <t>Fin</t>
  </si>
  <si>
    <t>Année</t>
  </si>
  <si>
    <t>10% Actions / 90% obligations</t>
  </si>
  <si>
    <t>20% Actions / 80% obligations</t>
  </si>
  <si>
    <t>30% Actions / 70% obligations</t>
  </si>
  <si>
    <t>40% Actions / 60% obligations</t>
  </si>
  <si>
    <t>50% Actions / 50% obligations</t>
  </si>
  <si>
    <t>60% Actions / 40% obligations</t>
  </si>
  <si>
    <t>70% Actions / 30% obligations</t>
  </si>
  <si>
    <t>80% Actions / 20% obligations</t>
  </si>
  <si>
    <t>90% Actions / 10% obligations</t>
  </si>
  <si>
    <t>Alpha</t>
  </si>
  <si>
    <t>Montant au 31 déc 2019</t>
  </si>
  <si>
    <t>Montant au 31 déc 2021</t>
  </si>
  <si>
    <t>Gains d'investissement</t>
  </si>
  <si>
    <t>"Cash return"</t>
  </si>
  <si>
    <t>Rendement cumulatif</t>
  </si>
  <si>
    <t>Rendement cumulatif "cash return"</t>
  </si>
  <si>
    <t>Rendement cumulatif indice</t>
  </si>
  <si>
    <t>Contributions (retraits)</t>
  </si>
  <si>
    <t>TRI</t>
  </si>
  <si>
    <t>Depuis le début du portefeuille</t>
  </si>
  <si>
    <t>2 dernières années</t>
  </si>
  <si>
    <t>3 dernières années</t>
  </si>
  <si>
    <t>4 dernières années</t>
  </si>
  <si>
    <t>5 dernières années</t>
  </si>
  <si>
    <t>Mon portefeuille</t>
  </si>
  <si>
    <t>Montant au 31 déc 2018</t>
  </si>
  <si>
    <t>Montant au 31 déc 2017</t>
  </si>
  <si>
    <t>Montant au 31 déc 2016</t>
  </si>
  <si>
    <t>Montant au 31 déc 2015</t>
  </si>
  <si>
    <t>Montant au 31 déc 2014</t>
  </si>
  <si>
    <t>Montant au 31 déc 2013</t>
  </si>
  <si>
    <t>Montant au 31 déc 2012</t>
  </si>
  <si>
    <t>Montant au 31 déc 2011</t>
  </si>
  <si>
    <t>Montant au 31 déc 2010</t>
  </si>
  <si>
    <t>Contribution initial de 15K$</t>
  </si>
  <si>
    <t>Retrait de 2500$ en fin juin</t>
  </si>
  <si>
    <t>Contribution de 5K$ en mi juin</t>
  </si>
  <si>
    <t>Contribution de 2K$ en début avril</t>
  </si>
  <si>
    <t>Contribution de 2K$ en fin mai</t>
  </si>
  <si>
    <t>Contribution de 2K$ en mi octobre</t>
  </si>
  <si>
    <t>2. Si vous n'utilisez pas un onglet bleu, par exemple, vous n'avez pas de données pour 2016, assurez-vous que toutes les données en jaune dans "TRI 2016" soient à 0 et que la case verte en G1 affiche "#NUM"</t>
  </si>
  <si>
    <t>https://lejournalduninvestisseur.com/indices-de-reference/</t>
  </si>
  <si>
    <t>100% obligations</t>
  </si>
  <si>
    <t>100% Actions</t>
  </si>
  <si>
    <t>Anthony Ménard, M. Sc., CFA</t>
  </si>
  <si>
    <t>Le journal d'un investisseur:</t>
  </si>
  <si>
    <t>https://lejournalduninvestisseur.com/a-propos/</t>
  </si>
  <si>
    <t>https://lejournalduninvestisseur.com/2020/11/28/comment-calculer-le-rendement-de-son-portefeuille/</t>
  </si>
  <si>
    <t>Instructions</t>
  </si>
  <si>
    <t>1. Les onglets bleus calculent le rendement de votre portefeuille sur une année tout en tenant compte des entrées et des sorties de fonds</t>
  </si>
  <si>
    <t>3. Les onglets "rendement" et "gains et contributions" effectuent tous les calculs. Les éléments en jaune peuvent être changés</t>
  </si>
  <si>
    <t>Croissance des actifs ($)</t>
  </si>
  <si>
    <t>Croissance des actifs (%)</t>
  </si>
  <si>
    <t>https://www.inovestor.com/</t>
  </si>
  <si>
    <t>Les éléments en vert pâle se calculent automatiquement.</t>
  </si>
  <si>
    <t>Le fichier ne peut pas calculer un rendement annuel sur plusieurs périodes si des données sont manquantes entre celles-ci (ex: données de 2016 à 2021, mais 2019 est manquant)</t>
  </si>
  <si>
    <t>4. L'onglet "indices" sert de référence pour les rendements des indice de référence. Vous n'avez pas besoin de le modifier</t>
  </si>
  <si>
    <t>Vice-président de la gestion des données chez Inovestor</t>
  </si>
  <si>
    <t>ex: Si vous contribuez en mi-juin, vous pouvez mettre 50% du montant négatif en juin et l'autre 50% négatif en juillet pour représenter un milieu de mois</t>
  </si>
  <si>
    <t>On ne doit pas entrer toutes nos transactions de notre portefeuille, uniquement les retraits et les contributions</t>
  </si>
  <si>
    <t xml:space="preserve">Mettez les contributions en négatif et les retraits en positif. </t>
  </si>
  <si>
    <t>https://lejournalduninvestisseur.com/2021/11/27/comment-comparer-le-rendement-de-son-portefeuille/</t>
  </si>
  <si>
    <t>5. Vous pouvez trouver de l'information pertinente dans ces articles pour mieux utiliser ce fichier</t>
  </si>
  <si>
    <t>6. Vous pouvez retrouver la version la plus récente de ce fichier ainsi que la méthodologie derrière les indices ici:</t>
  </si>
  <si>
    <t>Contribution de 7000$ en début mai</t>
  </si>
  <si>
    <t>Total des contributions (négatif) et des retraits (positif)</t>
  </si>
  <si>
    <t>Montant au 31 déc 2020 + contribution de 2000$ (50%)</t>
  </si>
  <si>
    <t>contribution de 2000$ en milieu décembre (50%)</t>
  </si>
  <si>
    <t>ex: Si vous mettez un montant négatif en février, cela implique qu'il s'agissait d'une contribution en début février ou fin janvier</t>
  </si>
  <si>
    <t>Les mois représentent le début ceux-ci.</t>
  </si>
  <si>
    <t>Le résultat au 31 décembre de l'année (31 déc 2020 pour calculer 2020) est l'équivalent d'un retrait (valeur positive) pour les fins du calcul</t>
  </si>
  <si>
    <t xml:space="preserve">Dans la cellule D16 de votre première année, n'incluez pas votre contribution initiale. </t>
  </si>
  <si>
    <t>Ex: vous avez commencez à investir en février 2017 et vous avez contribuer 10K et vous avez contribuer 2K$ en juin. Le montant de vos contributions en D16 est 2K$</t>
  </si>
  <si>
    <t>Ce montant ne doit pas inclure ma contribution initiale (ici 15K$)</t>
  </si>
  <si>
    <t>Le résultat de l'année précédente (31 déc 2019 pour calculer 2020) est l'équivalent d'une contribution (valeur négative) en janvier 2020 pour les fins du calcul, mais ne doit pas être ajouté dans la cellule D16</t>
  </si>
  <si>
    <t>Montant des contributions excluant le montant au 31 déc 2018</t>
  </si>
  <si>
    <t>Montant des contributions excluant le montant au 31 déc 2019</t>
  </si>
  <si>
    <t>Montant des contributions excluant le montant au 31 déc 2020</t>
  </si>
  <si>
    <t>Montant au 31 déc 2009</t>
  </si>
  <si>
    <t>Inovestor offre une plateforme de recherche fondamentale de titres boursières nord-américains</t>
  </si>
  <si>
    <t>ainsi que diverses données financières (données de marché, données fondamentales d'entreprise, FNB, fonds mutuels, devises, etc.)</t>
  </si>
  <si>
    <t>Rendement annuel</t>
  </si>
  <si>
    <t>Montant au 31 déc 2020 et une contribution de 6K$ en janvier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</si>
</sst>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164" formatCode="#,##0.00\ &quot;$&quot;_);[Red]\(#,##0.00\ &quot;$&quot;\)"/>
    <numFmt numFmtId="165" formatCode="_ * #,##0.00_)\ &quot;$&quot;_ ;_ * \(#,##0.00\)\ &quot;$&quot;_ ;_ * &quot;-&quot;??_)\ &quot;$&quot;_ ;_ @_ "/>
    <numFmt numFmtId="166" formatCode="_-&quot;$&quot;* #,##0_-;\-&quot;$&quot;* #,##0_-;_-&quot;$&quot;* &quot;-&quot;??_-;_-@_-"/>
    <numFmt numFmtId="167" formatCode="0.0%"/>
    <numFmt numFmtId="168" formatCode="&quot;$&quot;#,##0"/>
  </numFmts>
  <fonts count="11"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8"/>
      <name val="Calibri"/>
      <family val="2"/>
      <scheme val="minor"/>
    </font>
    <font>
      <sz val="14"/>
      <color theme="1"/>
      <name val="Calibri"/>
      <family val="2"/>
      <scheme val="minor"/>
    </font>
    <font>
      <u/>
      <sz val="14"/>
      <color theme="10"/>
      <name val="Calibri"/>
      <family val="2"/>
      <scheme val="minor"/>
    </font>
    <font>
      <b/>
      <sz val="16"/>
      <name val="Calibri"/>
      <family val="2"/>
      <scheme val="minor"/>
    </font>
    <font>
      <sz val="14"/>
      <name val="Calibri"/>
      <family val="2"/>
      <scheme val="minor"/>
    </font>
    <font>
      <b/>
      <sz val="22"/>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92D050"/>
        <bgColor indexed="64"/>
      </patternFill>
    </fill>
  </fills>
  <borders count="1">
    <border>
      <left/>
      <right/>
      <top/>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0" fontId="3" fillId="0" borderId="0" applyNumberFormat="0" applyFill="0" applyBorder="0" applyAlignment="0" applyProtection="0"/>
  </cellStyleXfs>
  <cellXfs count="45">
    <xf numFmtId="0" fontId="0" fillId="0" borderId="0" xfId="0"/>
    <xf numFmtId="0" fontId="0" fillId="0" borderId="0" xfId="0" applyAlignment="1">
      <alignment horizontal="center"/>
    </xf>
    <xf numFmtId="0" fontId="2" fillId="0" borderId="0" xfId="0" applyFont="1" applyAlignment="1">
      <alignment horizontal="center"/>
    </xf>
    <xf numFmtId="0" fontId="0" fillId="0" borderId="0" xfId="0" applyFill="1" applyAlignment="1">
      <alignment horizontal="center"/>
    </xf>
    <xf numFmtId="166" fontId="0" fillId="0" borderId="0" xfId="0" applyNumberFormat="1"/>
    <xf numFmtId="10" fontId="0" fillId="0" borderId="0" xfId="0" applyNumberFormat="1" applyAlignment="1">
      <alignment horizontal="center"/>
    </xf>
    <xf numFmtId="2" fontId="0" fillId="0" borderId="0" xfId="2" applyNumberFormat="1" applyFont="1" applyAlignment="1">
      <alignment horizontal="center"/>
    </xf>
    <xf numFmtId="10" fontId="0" fillId="0" borderId="0" xfId="0" applyNumberFormat="1"/>
    <xf numFmtId="167" fontId="0" fillId="0" borderId="0" xfId="0" applyNumberFormat="1" applyAlignment="1">
      <alignment horizontal="center"/>
    </xf>
    <xf numFmtId="167" fontId="0" fillId="0" borderId="0" xfId="0" applyNumberFormat="1"/>
    <xf numFmtId="167" fontId="0" fillId="0" borderId="0" xfId="2" applyNumberFormat="1" applyFont="1" applyAlignment="1">
      <alignment horizontal="center"/>
    </xf>
    <xf numFmtId="0" fontId="0" fillId="2" borderId="0" xfId="0" applyFill="1" applyAlignment="1">
      <alignment horizontal="center"/>
    </xf>
    <xf numFmtId="165" fontId="0" fillId="0" borderId="0" xfId="0" applyNumberFormat="1"/>
    <xf numFmtId="0" fontId="0" fillId="0" borderId="0" xfId="0" applyNumberFormat="1"/>
    <xf numFmtId="0" fontId="0" fillId="2" borderId="0" xfId="0" applyFill="1"/>
    <xf numFmtId="166" fontId="0" fillId="2" borderId="0" xfId="1" applyNumberFormat="1" applyFont="1" applyFill="1"/>
    <xf numFmtId="167" fontId="0" fillId="0" borderId="0" xfId="2" applyNumberFormat="1" applyFont="1" applyFill="1"/>
    <xf numFmtId="10" fontId="0" fillId="0" borderId="0" xfId="2" applyNumberFormat="1" applyFont="1" applyAlignment="1">
      <alignment horizontal="center"/>
    </xf>
    <xf numFmtId="164" fontId="0" fillId="0" borderId="0" xfId="0" applyNumberFormat="1"/>
    <xf numFmtId="166" fontId="0" fillId="0" borderId="0" xfId="1" applyNumberFormat="1" applyFont="1" applyFill="1"/>
    <xf numFmtId="10" fontId="0" fillId="0" borderId="0" xfId="0" applyNumberFormat="1" applyFill="1" applyAlignment="1">
      <alignment horizontal="center"/>
    </xf>
    <xf numFmtId="44" fontId="0" fillId="0" borderId="0" xfId="0" applyNumberFormat="1"/>
    <xf numFmtId="164" fontId="0" fillId="0" borderId="0" xfId="0" applyNumberFormat="1" applyFill="1"/>
    <xf numFmtId="10" fontId="0" fillId="3" borderId="0" xfId="0" applyNumberFormat="1" applyFill="1" applyAlignment="1">
      <alignment horizontal="center"/>
    </xf>
    <xf numFmtId="167" fontId="0" fillId="3" borderId="0" xfId="2" applyNumberFormat="1" applyFont="1" applyFill="1" applyAlignment="1">
      <alignment horizontal="center"/>
    </xf>
    <xf numFmtId="2" fontId="0" fillId="3" borderId="0" xfId="2" applyNumberFormat="1" applyFont="1" applyFill="1" applyAlignment="1">
      <alignment horizontal="center"/>
    </xf>
    <xf numFmtId="166" fontId="0" fillId="3" borderId="0" xfId="1" applyNumberFormat="1" applyFont="1" applyFill="1" applyAlignment="1">
      <alignment horizontal="center"/>
    </xf>
    <xf numFmtId="10" fontId="0" fillId="3" borderId="0" xfId="2" applyNumberFormat="1" applyFont="1" applyFill="1" applyAlignment="1">
      <alignment horizontal="center"/>
    </xf>
    <xf numFmtId="10" fontId="0" fillId="3" borderId="0" xfId="0" applyNumberFormat="1" applyFill="1"/>
    <xf numFmtId="10" fontId="0" fillId="0" borderId="0" xfId="2" applyNumberFormat="1" applyFont="1" applyFill="1" applyAlignment="1">
      <alignment horizontal="center"/>
    </xf>
    <xf numFmtId="0" fontId="0" fillId="0" borderId="0" xfId="0" applyFill="1"/>
    <xf numFmtId="10" fontId="0" fillId="0" borderId="0" xfId="2" applyNumberFormat="1" applyFont="1" applyFill="1"/>
    <xf numFmtId="0" fontId="5" fillId="0" borderId="0" xfId="0" applyFont="1"/>
    <xf numFmtId="0" fontId="5" fillId="0" borderId="0" xfId="0" applyFont="1" applyAlignment="1"/>
    <xf numFmtId="0" fontId="6" fillId="0" borderId="0" xfId="3" applyFont="1"/>
    <xf numFmtId="0" fontId="7" fillId="0" borderId="0" xfId="0" applyFont="1"/>
    <xf numFmtId="0" fontId="8" fillId="0" borderId="0" xfId="0" applyFont="1"/>
    <xf numFmtId="0" fontId="9" fillId="0" borderId="0" xfId="0" applyFont="1"/>
    <xf numFmtId="0" fontId="8" fillId="0" borderId="0" xfId="0" applyFont="1" applyAlignment="1"/>
    <xf numFmtId="0" fontId="10" fillId="0" borderId="0" xfId="0" applyFont="1"/>
    <xf numFmtId="0" fontId="5" fillId="0" borderId="0" xfId="0" applyFont="1" applyBorder="1" applyAlignment="1"/>
    <xf numFmtId="0" fontId="0" fillId="0" borderId="0" xfId="0" applyBorder="1"/>
    <xf numFmtId="166" fontId="0" fillId="3" borderId="0" xfId="1" quotePrefix="1" applyNumberFormat="1" applyFont="1" applyFill="1" applyAlignment="1">
      <alignment horizontal="center"/>
    </xf>
    <xf numFmtId="0" fontId="5" fillId="0" borderId="0" xfId="0" applyFont="1" applyAlignment="1">
      <alignment horizontal="left" indent="1"/>
    </xf>
    <xf numFmtId="168" fontId="0" fillId="3" borderId="0" xfId="1" applyNumberFormat="1" applyFont="1" applyFill="1" applyAlignment="1">
      <alignment horizontal="center"/>
    </xf>
  </cellXfs>
  <cellStyles count="4">
    <cellStyle name="Currency" xfId="1" builtinId="4"/>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lejournalduninvestisseur.com/a-propos/" TargetMode="External"/><Relationship Id="rId2" Type="http://schemas.openxmlformats.org/officeDocument/2006/relationships/hyperlink" Target="https://lejournalduninvestisseur.com/indices-de-reference/" TargetMode="External"/><Relationship Id="rId1" Type="http://schemas.openxmlformats.org/officeDocument/2006/relationships/hyperlink" Target="https://lejournalduninvestisseur.com/2020/11/28/comment-calculer-le-rendement-de-son-portefeuille/" TargetMode="External"/><Relationship Id="rId6" Type="http://schemas.openxmlformats.org/officeDocument/2006/relationships/printerSettings" Target="../printerSettings/printerSettings1.bin"/><Relationship Id="rId5" Type="http://schemas.openxmlformats.org/officeDocument/2006/relationships/hyperlink" Target="https://lejournalduninvestisseur.com/2021/11/27/comment-comparer-le-rendement-de-son-portefeuille/" TargetMode="External"/><Relationship Id="rId4" Type="http://schemas.openxmlformats.org/officeDocument/2006/relationships/hyperlink" Target="https://www.inovestor.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BC08A-694A-42E8-8636-E3EA97B2E883}">
  <sheetPr codeName="Sheet1"/>
  <dimension ref="A1:A36"/>
  <sheetViews>
    <sheetView workbookViewId="0">
      <selection activeCell="A31" sqref="A31"/>
    </sheetView>
  </sheetViews>
  <sheetFormatPr defaultRowHeight="15" x14ac:dyDescent="0.25"/>
  <cols>
    <col min="1" max="1" width="255.5703125" customWidth="1"/>
  </cols>
  <sheetData>
    <row r="1" spans="1:1" ht="28.5" x14ac:dyDescent="0.45">
      <c r="A1" s="37" t="s">
        <v>64</v>
      </c>
    </row>
    <row r="2" spans="1:1" ht="18.75" x14ac:dyDescent="0.3">
      <c r="A2" s="39" t="s">
        <v>65</v>
      </c>
    </row>
    <row r="3" spans="1:1" ht="18.75" x14ac:dyDescent="0.3">
      <c r="A3" s="33" t="s">
        <v>76</v>
      </c>
    </row>
    <row r="4" spans="1:1" ht="18.75" x14ac:dyDescent="0.3">
      <c r="A4" s="33" t="s">
        <v>85</v>
      </c>
    </row>
    <row r="5" spans="1:1" ht="18.75" x14ac:dyDescent="0.3">
      <c r="A5" s="43" t="s">
        <v>84</v>
      </c>
    </row>
    <row r="6" spans="1:1" ht="18.75" x14ac:dyDescent="0.3">
      <c r="A6" s="43" t="s">
        <v>74</v>
      </c>
    </row>
    <row r="7" spans="1:1" s="41" customFormat="1" ht="18.75" x14ac:dyDescent="0.3">
      <c r="A7" s="40" t="s">
        <v>90</v>
      </c>
    </row>
    <row r="8" spans="1:1" ht="18.75" x14ac:dyDescent="0.3">
      <c r="A8" s="33" t="s">
        <v>86</v>
      </c>
    </row>
    <row r="9" spans="1:1" ht="18.75" x14ac:dyDescent="0.3">
      <c r="A9" s="33" t="s">
        <v>75</v>
      </c>
    </row>
    <row r="10" spans="1:1" ht="18.75" x14ac:dyDescent="0.3">
      <c r="A10" s="33" t="s">
        <v>87</v>
      </c>
    </row>
    <row r="11" spans="1:1" ht="18.75" x14ac:dyDescent="0.3">
      <c r="A11" s="43" t="s">
        <v>88</v>
      </c>
    </row>
    <row r="12" spans="1:1" ht="18.75" x14ac:dyDescent="0.3">
      <c r="A12" s="43"/>
    </row>
    <row r="13" spans="1:1" ht="18.75" x14ac:dyDescent="0.3">
      <c r="A13" s="39" t="s">
        <v>56</v>
      </c>
    </row>
    <row r="14" spans="1:1" ht="18.75" x14ac:dyDescent="0.3">
      <c r="A14" s="32" t="s">
        <v>70</v>
      </c>
    </row>
    <row r="15" spans="1:1" ht="18.75" x14ac:dyDescent="0.3">
      <c r="A15" s="32" t="s">
        <v>71</v>
      </c>
    </row>
    <row r="16" spans="1:1" ht="18.75" x14ac:dyDescent="0.3">
      <c r="A16" s="32"/>
    </row>
    <row r="17" spans="1:1" ht="18.75" x14ac:dyDescent="0.3">
      <c r="A17" s="39" t="s">
        <v>66</v>
      </c>
    </row>
    <row r="18" spans="1:1" ht="18.75" x14ac:dyDescent="0.3">
      <c r="A18" s="32"/>
    </row>
    <row r="19" spans="1:1" ht="18.75" x14ac:dyDescent="0.3">
      <c r="A19" s="39" t="s">
        <v>72</v>
      </c>
    </row>
    <row r="20" spans="1:1" ht="18.75" x14ac:dyDescent="0.3">
      <c r="A20" s="32"/>
    </row>
    <row r="21" spans="1:1" ht="18.75" x14ac:dyDescent="0.3">
      <c r="A21" s="39" t="s">
        <v>78</v>
      </c>
    </row>
    <row r="22" spans="1:1" ht="18.75" x14ac:dyDescent="0.3">
      <c r="A22" s="34" t="s">
        <v>63</v>
      </c>
    </row>
    <row r="23" spans="1:1" ht="18.75" x14ac:dyDescent="0.3">
      <c r="A23" s="34" t="s">
        <v>77</v>
      </c>
    </row>
    <row r="25" spans="1:1" ht="18.75" x14ac:dyDescent="0.3">
      <c r="A25" s="39" t="s">
        <v>79</v>
      </c>
    </row>
    <row r="26" spans="1:1" ht="18.75" x14ac:dyDescent="0.3">
      <c r="A26" s="34" t="s">
        <v>57</v>
      </c>
    </row>
    <row r="27" spans="1:1" ht="18.75" x14ac:dyDescent="0.3">
      <c r="A27" s="34"/>
    </row>
    <row r="28" spans="1:1" ht="21" x14ac:dyDescent="0.35">
      <c r="A28" s="35" t="s">
        <v>61</v>
      </c>
    </row>
    <row r="29" spans="1:1" ht="18.75" x14ac:dyDescent="0.3">
      <c r="A29" s="34" t="s">
        <v>62</v>
      </c>
    </row>
    <row r="31" spans="1:1" ht="21" x14ac:dyDescent="0.35">
      <c r="A31" s="35" t="s">
        <v>60</v>
      </c>
    </row>
    <row r="32" spans="1:1" ht="18.75" x14ac:dyDescent="0.3">
      <c r="A32" s="36" t="s">
        <v>73</v>
      </c>
    </row>
    <row r="33" spans="1:1" ht="18.75" x14ac:dyDescent="0.3">
      <c r="A33" s="34"/>
    </row>
    <row r="34" spans="1:1" ht="18.75" customHeight="1" x14ac:dyDescent="0.3">
      <c r="A34" s="38" t="s">
        <v>95</v>
      </c>
    </row>
    <row r="35" spans="1:1" ht="15" customHeight="1" x14ac:dyDescent="0.3">
      <c r="A35" s="38" t="s">
        <v>96</v>
      </c>
    </row>
    <row r="36" spans="1:1" ht="18.75" x14ac:dyDescent="0.3">
      <c r="A36" s="34" t="s">
        <v>69</v>
      </c>
    </row>
  </sheetData>
  <hyperlinks>
    <hyperlink ref="A22" r:id="rId1" xr:uid="{7998555E-9342-4279-9159-40AB78E84E34}"/>
    <hyperlink ref="A26" r:id="rId2" xr:uid="{FFEEFBDD-1A48-4011-9EA9-524BB7469984}"/>
    <hyperlink ref="A29" r:id="rId3" xr:uid="{A2F20A8A-78E0-442A-89B7-6D5FC354D280}"/>
    <hyperlink ref="A36" r:id="rId4" xr:uid="{E37493F6-9F4D-4B6F-9C5B-241BBBAD69A9}"/>
    <hyperlink ref="A23" r:id="rId5" xr:uid="{CECC536C-6516-49A8-ADA6-FD51780631B2}"/>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7DAEF-0A9D-4A88-93FF-5040A7BBEBDA}">
  <sheetPr codeName="Sheet2"/>
  <dimension ref="A1:L13"/>
  <sheetViews>
    <sheetView workbookViewId="0">
      <selection activeCell="F6" sqref="F6"/>
    </sheetView>
  </sheetViews>
  <sheetFormatPr defaultRowHeight="15" x14ac:dyDescent="0.25"/>
  <cols>
    <col min="1" max="1" width="6.85546875" bestFit="1" customWidth="1"/>
    <col min="2" max="12" width="27.7109375" bestFit="1" customWidth="1"/>
  </cols>
  <sheetData>
    <row r="1" spans="1:12" x14ac:dyDescent="0.25">
      <c r="A1" s="2" t="s">
        <v>15</v>
      </c>
      <c r="B1" s="2" t="s">
        <v>58</v>
      </c>
      <c r="C1" s="2" t="s">
        <v>16</v>
      </c>
      <c r="D1" s="2" t="s">
        <v>17</v>
      </c>
      <c r="E1" s="2" t="s">
        <v>18</v>
      </c>
      <c r="F1" s="2" t="s">
        <v>19</v>
      </c>
      <c r="G1" s="2" t="s">
        <v>20</v>
      </c>
      <c r="H1" s="2" t="s">
        <v>21</v>
      </c>
      <c r="I1" s="2" t="s">
        <v>22</v>
      </c>
      <c r="J1" s="2" t="s">
        <v>23</v>
      </c>
      <c r="K1" s="2" t="s">
        <v>24</v>
      </c>
      <c r="L1" s="2" t="s">
        <v>59</v>
      </c>
    </row>
    <row r="2" spans="1:12" x14ac:dyDescent="0.25">
      <c r="A2" s="1">
        <v>2010</v>
      </c>
      <c r="B2" s="17">
        <v>4.4500000000000005E-2</v>
      </c>
      <c r="C2" s="17">
        <v>4.719177088523889E-2</v>
      </c>
      <c r="D2" s="17">
        <v>4.9883541770477775E-2</v>
      </c>
      <c r="E2" s="17">
        <v>5.2575312655716654E-2</v>
      </c>
      <c r="F2" s="17">
        <v>5.5267083540955539E-2</v>
      </c>
      <c r="G2" s="17">
        <v>5.7958854426194431E-2</v>
      </c>
      <c r="H2" s="17">
        <v>6.0650625311433309E-2</v>
      </c>
      <c r="I2" s="17">
        <v>6.3342396196672202E-2</v>
      </c>
      <c r="J2" s="17">
        <v>6.603416708191108E-2</v>
      </c>
      <c r="K2" s="17">
        <v>6.8725937967149958E-2</v>
      </c>
      <c r="L2" s="17">
        <v>7.141770885238885E-2</v>
      </c>
    </row>
    <row r="3" spans="1:12" x14ac:dyDescent="0.25">
      <c r="A3" s="1">
        <v>2011</v>
      </c>
      <c r="B3" s="17">
        <v>9.2897293931537339E-2</v>
      </c>
      <c r="C3" s="17">
        <v>7.7695111818331067E-2</v>
      </c>
      <c r="D3" s="17">
        <v>6.2492929705124788E-2</v>
      </c>
      <c r="E3" s="17">
        <v>4.7290747591918522E-2</v>
      </c>
      <c r="F3" s="17">
        <v>3.2088565478712236E-2</v>
      </c>
      <c r="G3" s="17">
        <v>1.6886383365505964E-2</v>
      </c>
      <c r="H3" s="17">
        <v>1.6842012522996913E-3</v>
      </c>
      <c r="I3" s="17">
        <v>-1.3517980860906581E-2</v>
      </c>
      <c r="J3" s="17">
        <v>-2.8720162974112867E-2</v>
      </c>
      <c r="K3" s="17">
        <v>-4.392234508731914E-2</v>
      </c>
      <c r="L3" s="17">
        <v>-5.9124527200525412E-2</v>
      </c>
    </row>
    <row r="4" spans="1:12" x14ac:dyDescent="0.25">
      <c r="A4" s="1">
        <v>2012</v>
      </c>
      <c r="B4" s="17">
        <v>3.1559489009155506E-2</v>
      </c>
      <c r="C4" s="17">
        <v>4.2187536462403655E-2</v>
      </c>
      <c r="D4" s="17">
        <v>5.2815583915651804E-2</v>
      </c>
      <c r="E4" s="17">
        <v>6.3443631368899939E-2</v>
      </c>
      <c r="F4" s="17">
        <v>7.4071678822148102E-2</v>
      </c>
      <c r="G4" s="17">
        <v>8.4699726275396237E-2</v>
      </c>
      <c r="H4" s="17">
        <v>9.5327773728644372E-2</v>
      </c>
      <c r="I4" s="17">
        <v>0.10595582118189252</v>
      </c>
      <c r="J4" s="17">
        <v>0.11658386863514068</v>
      </c>
      <c r="K4" s="17">
        <v>0.12721191608838883</v>
      </c>
      <c r="L4" s="17">
        <v>0.13783996354163697</v>
      </c>
    </row>
    <row r="5" spans="1:12" x14ac:dyDescent="0.25">
      <c r="A5" s="1">
        <v>2013</v>
      </c>
      <c r="B5" s="17">
        <v>-1.6062257241493016E-2</v>
      </c>
      <c r="C5" s="17">
        <v>1.6546872740049422E-2</v>
      </c>
      <c r="D5" s="17">
        <v>4.9156002721591867E-2</v>
      </c>
      <c r="E5" s="17">
        <v>8.1765132703134305E-2</v>
      </c>
      <c r="F5" s="17">
        <v>0.11437426268467675</v>
      </c>
      <c r="G5" s="17">
        <v>0.14698339266621918</v>
      </c>
      <c r="H5" s="17">
        <v>0.17959252264776163</v>
      </c>
      <c r="I5" s="17">
        <v>0.21220165262930404</v>
      </c>
      <c r="J5" s="17">
        <v>0.24481078261084652</v>
      </c>
      <c r="K5" s="17">
        <v>0.27741991259238896</v>
      </c>
      <c r="L5" s="17">
        <v>0.31002904257393138</v>
      </c>
    </row>
    <row r="6" spans="1:12" x14ac:dyDescent="0.25">
      <c r="A6" s="1">
        <v>2014</v>
      </c>
      <c r="B6" s="17">
        <v>8.6162385664444452E-2</v>
      </c>
      <c r="C6" s="17">
        <v>9.0741716364010211E-2</v>
      </c>
      <c r="D6" s="17">
        <v>9.5321047063575956E-2</v>
      </c>
      <c r="E6" s="17">
        <v>9.9900377763141701E-2</v>
      </c>
      <c r="F6" s="17">
        <v>0.10447970846270746</v>
      </c>
      <c r="G6" s="17">
        <v>0.10905903916227322</v>
      </c>
      <c r="H6" s="17">
        <v>0.11363836986183896</v>
      </c>
      <c r="I6" s="17">
        <v>0.11821770056140472</v>
      </c>
      <c r="J6" s="17">
        <v>0.12279703126097048</v>
      </c>
      <c r="K6" s="17">
        <v>0.12737636196053623</v>
      </c>
      <c r="L6" s="17">
        <v>0.13195569266010199</v>
      </c>
    </row>
    <row r="7" spans="1:12" x14ac:dyDescent="0.25">
      <c r="A7" s="1">
        <v>2015</v>
      </c>
      <c r="B7" s="17">
        <v>3.2127959357511227E-2</v>
      </c>
      <c r="C7" s="17">
        <v>4.5811303659513622E-2</v>
      </c>
      <c r="D7" s="17">
        <v>5.9494647961516031E-2</v>
      </c>
      <c r="E7" s="17">
        <v>7.3177992263518413E-2</v>
      </c>
      <c r="F7" s="17">
        <v>8.6861336565520822E-2</v>
      </c>
      <c r="G7" s="17">
        <v>0.10054468086752322</v>
      </c>
      <c r="H7" s="17">
        <v>0.11422802516952561</v>
      </c>
      <c r="I7" s="17">
        <v>0.12791136947152801</v>
      </c>
      <c r="J7" s="17">
        <v>0.14159471377353042</v>
      </c>
      <c r="K7" s="17">
        <v>0.15527805807553283</v>
      </c>
      <c r="L7" s="17">
        <v>0.16896140237753521</v>
      </c>
    </row>
    <row r="8" spans="1:12" x14ac:dyDescent="0.25">
      <c r="A8" s="1">
        <v>2016</v>
      </c>
      <c r="B8" s="17">
        <v>1.8055999939344813E-2</v>
      </c>
      <c r="C8" s="17">
        <v>2.1569094855766503E-2</v>
      </c>
      <c r="D8" s="17">
        <v>2.5082189772188193E-2</v>
      </c>
      <c r="E8" s="17">
        <v>2.859528468860988E-2</v>
      </c>
      <c r="F8" s="17">
        <v>3.2108379605031573E-2</v>
      </c>
      <c r="G8" s="17">
        <v>3.5621474521453256E-2</v>
      </c>
      <c r="H8" s="17">
        <v>3.9134569437874946E-2</v>
      </c>
      <c r="I8" s="17">
        <v>4.2647664354296629E-2</v>
      </c>
      <c r="J8" s="17">
        <v>4.6160759270718325E-2</v>
      </c>
      <c r="K8" s="17">
        <v>4.9673854187140008E-2</v>
      </c>
      <c r="L8" s="17">
        <v>5.3186949103561698E-2</v>
      </c>
    </row>
    <row r="9" spans="1:12" x14ac:dyDescent="0.25">
      <c r="A9" s="1">
        <v>2017</v>
      </c>
      <c r="B9" s="17">
        <v>2.4545620961722747E-2</v>
      </c>
      <c r="C9" s="17">
        <v>3.8005819333573741E-2</v>
      </c>
      <c r="D9" s="17">
        <v>5.1466017705424735E-2</v>
      </c>
      <c r="E9" s="17">
        <v>6.4926216077275736E-2</v>
      </c>
      <c r="F9" s="17">
        <v>7.8386414449126723E-2</v>
      </c>
      <c r="G9" s="17">
        <v>9.1846612820977724E-2</v>
      </c>
      <c r="H9" s="17">
        <v>0.10530681119282873</v>
      </c>
      <c r="I9" s="17">
        <v>0.11876700956467971</v>
      </c>
      <c r="J9" s="17">
        <v>0.1322272079365307</v>
      </c>
      <c r="K9" s="17">
        <v>0.14568740630838173</v>
      </c>
      <c r="L9" s="17">
        <v>0.1591476046802327</v>
      </c>
    </row>
    <row r="10" spans="1:12" x14ac:dyDescent="0.25">
      <c r="A10" s="1">
        <v>2018</v>
      </c>
      <c r="B10" s="17">
        <v>1.1154368991390662E-2</v>
      </c>
      <c r="C10" s="17">
        <v>8.5547587313915992E-3</v>
      </c>
      <c r="D10" s="17">
        <v>5.9551484713925348E-3</v>
      </c>
      <c r="E10" s="17">
        <v>3.3555382113934712E-3</v>
      </c>
      <c r="F10" s="17">
        <v>7.5592795139440769E-4</v>
      </c>
      <c r="G10" s="17">
        <v>-1.843682308604655E-3</v>
      </c>
      <c r="H10" s="17">
        <v>-4.4432925686037177E-3</v>
      </c>
      <c r="I10" s="17">
        <v>-7.0429028286027803E-3</v>
      </c>
      <c r="J10" s="17">
        <v>-9.6425130886018465E-3</v>
      </c>
      <c r="K10" s="17">
        <v>-1.2242123348600909E-2</v>
      </c>
      <c r="L10" s="17">
        <v>-1.4841733608599972E-2</v>
      </c>
    </row>
    <row r="11" spans="1:12" x14ac:dyDescent="0.25">
      <c r="A11" s="1">
        <v>2019</v>
      </c>
      <c r="B11" s="17">
        <v>6.8417974301681284E-2</v>
      </c>
      <c r="C11" s="17">
        <v>8.2948771466627769E-2</v>
      </c>
      <c r="D11" s="17">
        <v>9.747956863157424E-2</v>
      </c>
      <c r="E11" s="17">
        <v>0.1120103657965207</v>
      </c>
      <c r="F11" s="17">
        <v>0.1265411629614672</v>
      </c>
      <c r="G11" s="17">
        <v>0.14107196012641365</v>
      </c>
      <c r="H11" s="17">
        <v>0.15560275729136011</v>
      </c>
      <c r="I11" s="17">
        <v>0.17013355445630657</v>
      </c>
      <c r="J11" s="17">
        <v>0.18466435162125311</v>
      </c>
      <c r="K11" s="17">
        <v>0.19919514878619957</v>
      </c>
      <c r="L11" s="17">
        <v>0.21372594595114602</v>
      </c>
    </row>
    <row r="12" spans="1:12" x14ac:dyDescent="0.25">
      <c r="A12" s="1">
        <v>2020</v>
      </c>
      <c r="B12" s="17">
        <v>8.0618971244449611E-2</v>
      </c>
      <c r="C12" s="17">
        <v>8.6133382725620669E-2</v>
      </c>
      <c r="D12" s="17">
        <v>9.16477942067917E-2</v>
      </c>
      <c r="E12" s="17">
        <v>9.7162205687962744E-2</v>
      </c>
      <c r="F12" s="17">
        <v>0.10267661716913379</v>
      </c>
      <c r="G12" s="17">
        <v>0.10819102865030483</v>
      </c>
      <c r="H12" s="17">
        <v>0.11370544013147588</v>
      </c>
      <c r="I12" s="17">
        <v>0.11921985161264692</v>
      </c>
      <c r="J12" s="17">
        <v>0.12473426309381797</v>
      </c>
      <c r="K12" s="17">
        <v>0.13024867457498901</v>
      </c>
      <c r="L12" s="17">
        <v>0.13576308605616005</v>
      </c>
    </row>
    <row r="13" spans="1:12" x14ac:dyDescent="0.25">
      <c r="A13" s="1">
        <v>2021</v>
      </c>
      <c r="B13" s="17">
        <v>-2.6004606987939605E-2</v>
      </c>
      <c r="C13" s="17">
        <v>-4.8010670893044345E-3</v>
      </c>
      <c r="D13" s="17">
        <v>1.6402472809330736E-2</v>
      </c>
      <c r="E13" s="17">
        <v>3.7606012707965909E-2</v>
      </c>
      <c r="F13" s="17">
        <v>5.8809552606601083E-2</v>
      </c>
      <c r="G13" s="17">
        <v>8.001309250523625E-2</v>
      </c>
      <c r="H13" s="17">
        <v>0.10121663240387141</v>
      </c>
      <c r="I13" s="17">
        <v>0.12242017230250658</v>
      </c>
      <c r="J13" s="17">
        <v>0.14362371220114176</v>
      </c>
      <c r="K13" s="17">
        <v>0.16482725209977694</v>
      </c>
      <c r="L13" s="17">
        <v>0.1860307919984121</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FF819-DF66-4834-9DB1-D1C187226FBC}">
  <sheetPr codeName="Sheet3">
    <tabColor rgb="FF00B050"/>
  </sheetPr>
  <dimension ref="A1:P68"/>
  <sheetViews>
    <sheetView workbookViewId="0">
      <selection activeCell="D22" sqref="D22"/>
    </sheetView>
  </sheetViews>
  <sheetFormatPr defaultRowHeight="15" x14ac:dyDescent="0.25"/>
  <cols>
    <col min="1" max="1" width="42.140625" bestFit="1" customWidth="1"/>
    <col min="2" max="2" width="37.140625" bestFit="1" customWidth="1"/>
    <col min="3" max="3" width="37.140625" customWidth="1"/>
    <col min="4" max="4" width="15" bestFit="1" customWidth="1"/>
    <col min="5" max="5" width="27.7109375" bestFit="1" customWidth="1"/>
    <col min="6" max="6" width="20.5703125" bestFit="1" customWidth="1"/>
    <col min="7" max="7" width="33" bestFit="1" customWidth="1"/>
    <col min="8" max="8" width="26.7109375" bestFit="1" customWidth="1"/>
    <col min="14" max="14" width="13.28515625" bestFit="1" customWidth="1"/>
    <col min="15" max="15" width="14.85546875" bestFit="1" customWidth="1"/>
    <col min="16" max="16" width="12.140625" bestFit="1" customWidth="1"/>
  </cols>
  <sheetData>
    <row r="1" spans="1:16" x14ac:dyDescent="0.25">
      <c r="A1" s="1" t="s">
        <v>15</v>
      </c>
      <c r="B1" s="1" t="s">
        <v>40</v>
      </c>
      <c r="C1" s="11" t="s">
        <v>21</v>
      </c>
      <c r="D1" s="1" t="s">
        <v>25</v>
      </c>
      <c r="E1" s="1" t="s">
        <v>29</v>
      </c>
      <c r="F1" s="1" t="s">
        <v>30</v>
      </c>
      <c r="G1" s="1" t="s">
        <v>31</v>
      </c>
      <c r="H1" s="1" t="s">
        <v>32</v>
      </c>
    </row>
    <row r="2" spans="1:16" x14ac:dyDescent="0.25">
      <c r="A2" s="3">
        <v>2010</v>
      </c>
      <c r="B2" s="23" t="str">
        <f>IFERROR('TRI 2010'!G1,"")</f>
        <v/>
      </c>
      <c r="C2" s="24" t="str">
        <f>IF(B2="","",HLOOKUP($C$1,Indices!A:L,2,FALSE))</f>
        <v/>
      </c>
      <c r="D2" s="23" t="str">
        <f t="shared" ref="D2:D13" si="0">IFERROR(B2-C2,"")</f>
        <v/>
      </c>
      <c r="E2" s="27" t="str">
        <f>IFERROR('Gains et contributions'!E2/('Gains et contributions'!E1+'Gains et contributions'!C2)-1,IFERROR('Gains et contributions'!D2/('Gains et contributions'!B2+'Gains et contributions'!C2),""))</f>
        <v/>
      </c>
      <c r="F2" s="25" t="str">
        <f>IFERROR((1+B2),"N/A")</f>
        <v>N/A</v>
      </c>
      <c r="G2" s="25" t="str">
        <f>IFERROR((1+E2),"N/A")</f>
        <v>N/A</v>
      </c>
      <c r="H2" s="25" t="str">
        <f>IFERROR((1+C2),"N/A")</f>
        <v>N/A</v>
      </c>
    </row>
    <row r="3" spans="1:16" x14ac:dyDescent="0.25">
      <c r="A3" s="3">
        <v>2011</v>
      </c>
      <c r="B3" s="23" t="str">
        <f>IFERROR('TRI 2011'!G1,"")</f>
        <v/>
      </c>
      <c r="C3" s="24" t="str">
        <f>IF(B3="","",HLOOKUP($C$1,Indices!A:L,3,FALSE))</f>
        <v/>
      </c>
      <c r="D3" s="23" t="str">
        <f t="shared" si="0"/>
        <v/>
      </c>
      <c r="E3" s="27" t="str">
        <f>IFERROR('Gains et contributions'!E3/('Gains et contributions'!E2+'Gains et contributions'!C3)-1,IFERROR('Gains et contributions'!D3/('Gains et contributions'!B3+'Gains et contributions'!C3),""))</f>
        <v/>
      </c>
      <c r="F3" s="25" t="str">
        <f t="shared" ref="F3:F12" si="1">IFERROR(IF(F2&lt;&gt;"N/A",(1+B3)*F2,(1+B3)),"N/A")</f>
        <v>N/A</v>
      </c>
      <c r="G3" s="25" t="str">
        <f t="shared" ref="G3:G13" si="2">IFERROR(IF(G2&lt;&gt;"N/A",(1+E3)*G2,(1+D3)),"N/A")</f>
        <v>N/A</v>
      </c>
      <c r="H3" s="25" t="str">
        <f t="shared" ref="H3:H10" si="3">IFERROR(IF(H2&lt;&gt;"N/A",(1+C3)*H2,(1+C3)),"N/A")</f>
        <v>N/A</v>
      </c>
    </row>
    <row r="4" spans="1:16" x14ac:dyDescent="0.25">
      <c r="A4" s="3">
        <v>2012</v>
      </c>
      <c r="B4" s="23" t="str">
        <f>IFERROR('TRI 2012'!G1,"")</f>
        <v/>
      </c>
      <c r="C4" s="24" t="str">
        <f>IF(B4="","",HLOOKUP($C$1,Indices!A:L,4,FALSE))</f>
        <v/>
      </c>
      <c r="D4" s="23" t="str">
        <f t="shared" si="0"/>
        <v/>
      </c>
      <c r="E4" s="27" t="str">
        <f>IFERROR('Gains et contributions'!E4/('Gains et contributions'!E3+'Gains et contributions'!C4)-1,IFERROR('Gains et contributions'!D4/('Gains et contributions'!B4+'Gains et contributions'!C4),""))</f>
        <v/>
      </c>
      <c r="F4" s="25" t="str">
        <f t="shared" si="1"/>
        <v>N/A</v>
      </c>
      <c r="G4" s="25" t="str">
        <f t="shared" si="2"/>
        <v>N/A</v>
      </c>
      <c r="H4" s="25" t="str">
        <f t="shared" si="3"/>
        <v>N/A</v>
      </c>
    </row>
    <row r="5" spans="1:16" x14ac:dyDescent="0.25">
      <c r="A5" s="3">
        <v>2013</v>
      </c>
      <c r="B5" s="23" t="str">
        <f>IFERROR('TRI 2013'!G1,"")</f>
        <v/>
      </c>
      <c r="C5" s="24" t="str">
        <f>IF(B5="","",HLOOKUP($C$1,Indices!A:L,5,FALSE))</f>
        <v/>
      </c>
      <c r="D5" s="23" t="str">
        <f t="shared" si="0"/>
        <v/>
      </c>
      <c r="E5" s="27" t="str">
        <f>IFERROR('Gains et contributions'!E5/('Gains et contributions'!E4+'Gains et contributions'!C5)-1,IFERROR('Gains et contributions'!D5/('Gains et contributions'!B5+'Gains et contributions'!C5),""))</f>
        <v/>
      </c>
      <c r="F5" s="25" t="str">
        <f t="shared" si="1"/>
        <v>N/A</v>
      </c>
      <c r="G5" s="25" t="str">
        <f t="shared" si="2"/>
        <v>N/A</v>
      </c>
      <c r="H5" s="25" t="str">
        <f t="shared" si="3"/>
        <v>N/A</v>
      </c>
    </row>
    <row r="6" spans="1:16" x14ac:dyDescent="0.25">
      <c r="A6" s="3">
        <v>2014</v>
      </c>
      <c r="B6" s="23" t="str">
        <f>IFERROR('TRI 2014'!G1,"")</f>
        <v/>
      </c>
      <c r="C6" s="24" t="str">
        <f>IF(B6="","",HLOOKUP($C$1,Indices!A:L,6,FALSE))</f>
        <v/>
      </c>
      <c r="D6" s="23" t="str">
        <f t="shared" si="0"/>
        <v/>
      </c>
      <c r="E6" s="27" t="str">
        <f>IFERROR('Gains et contributions'!E6/('Gains et contributions'!E5+'Gains et contributions'!C6)-1,IFERROR('Gains et contributions'!D6/('Gains et contributions'!B6+'Gains et contributions'!C6),""))</f>
        <v/>
      </c>
      <c r="F6" s="25" t="str">
        <f t="shared" si="1"/>
        <v>N/A</v>
      </c>
      <c r="G6" s="25" t="str">
        <f t="shared" si="2"/>
        <v>N/A</v>
      </c>
      <c r="H6" s="25" t="str">
        <f t="shared" si="3"/>
        <v>N/A</v>
      </c>
    </row>
    <row r="7" spans="1:16" x14ac:dyDescent="0.25">
      <c r="A7" s="3">
        <v>2015</v>
      </c>
      <c r="B7" s="23" t="str">
        <f>IFERROR('TRI 2015'!G1,"")</f>
        <v/>
      </c>
      <c r="C7" s="24" t="str">
        <f>IF(B7="","",HLOOKUP($C$1,Indices!A:L,7,FALSE))</f>
        <v/>
      </c>
      <c r="D7" s="23" t="str">
        <f t="shared" si="0"/>
        <v/>
      </c>
      <c r="E7" s="27" t="str">
        <f>IFERROR('Gains et contributions'!E7/('Gains et contributions'!E6+'Gains et contributions'!C7)-1,IFERROR('Gains et contributions'!D7/('Gains et contributions'!B7+'Gains et contributions'!C7),""))</f>
        <v/>
      </c>
      <c r="F7" s="25" t="str">
        <f t="shared" si="1"/>
        <v>N/A</v>
      </c>
      <c r="G7" s="25" t="str">
        <f t="shared" si="2"/>
        <v>N/A</v>
      </c>
      <c r="H7" s="25" t="str">
        <f t="shared" si="3"/>
        <v>N/A</v>
      </c>
    </row>
    <row r="8" spans="1:16" x14ac:dyDescent="0.25">
      <c r="A8" s="3">
        <v>2016</v>
      </c>
      <c r="B8" s="23" t="str">
        <f>IFERROR('TRI 2016'!G1,"")</f>
        <v/>
      </c>
      <c r="C8" s="24" t="str">
        <f>IF(B8="","",HLOOKUP($C$1,Indices!A:L,8,FALSE))</f>
        <v/>
      </c>
      <c r="D8" s="23" t="str">
        <f t="shared" si="0"/>
        <v/>
      </c>
      <c r="E8" s="27" t="str">
        <f>IFERROR('Gains et contributions'!E8/('Gains et contributions'!E7+'Gains et contributions'!C8)-1,IFERROR('Gains et contributions'!D8/('Gains et contributions'!B8+'Gains et contributions'!C8),""))</f>
        <v/>
      </c>
      <c r="F8" s="25" t="str">
        <f t="shared" si="1"/>
        <v>N/A</v>
      </c>
      <c r="G8" s="25" t="str">
        <f t="shared" si="2"/>
        <v>N/A</v>
      </c>
      <c r="H8" s="25" t="str">
        <f t="shared" si="3"/>
        <v>N/A</v>
      </c>
    </row>
    <row r="9" spans="1:16" x14ac:dyDescent="0.25">
      <c r="A9" s="3">
        <v>2017</v>
      </c>
      <c r="B9" s="23" t="str">
        <f>IFERROR('TRI 2017'!G1,"")</f>
        <v/>
      </c>
      <c r="C9" s="24" t="str">
        <f>IF(B9="","",HLOOKUP($C$1,Indices!A:L,9,FALSE))</f>
        <v/>
      </c>
      <c r="D9" s="23" t="str">
        <f t="shared" si="0"/>
        <v/>
      </c>
      <c r="E9" s="27" t="str">
        <f>IFERROR('Gains et contributions'!E9/('Gains et contributions'!E8+'Gains et contributions'!C9)-1,IFERROR('Gains et contributions'!D9/('Gains et contributions'!B9+'Gains et contributions'!C9),""))</f>
        <v/>
      </c>
      <c r="F9" s="25" t="str">
        <f t="shared" si="1"/>
        <v>N/A</v>
      </c>
      <c r="G9" s="25" t="str">
        <f t="shared" si="2"/>
        <v>N/A</v>
      </c>
      <c r="H9" s="25" t="str">
        <f t="shared" si="3"/>
        <v>N/A</v>
      </c>
    </row>
    <row r="10" spans="1:16" x14ac:dyDescent="0.25">
      <c r="A10" s="3">
        <v>2018</v>
      </c>
      <c r="B10" s="23">
        <f>IFERROR('TRI 2018'!G1,"")</f>
        <v>-5.5196710516699055E-2</v>
      </c>
      <c r="C10" s="24">
        <f>IF(B10="","",HLOOKUP($C$1,Indices!A:L,10,FALSE))</f>
        <v>-4.4432925686037177E-3</v>
      </c>
      <c r="D10" s="23">
        <f t="shared" si="0"/>
        <v>-5.0753417948095333E-2</v>
      </c>
      <c r="E10" s="27">
        <f>IFERROR('Gains et contributions'!E10/('Gains et contributions'!E9+'Gains et contributions'!C10)-1,IFERROR('Gains et contributions'!D10/('Gains et contributions'!B10+'Gains et contributions'!C10),""))</f>
        <v>-4.7619047619047616E-2</v>
      </c>
      <c r="F10" s="25">
        <f>IFERROR(IF(F9&lt;&gt;"N/A",(1+B10)*F9,(1+B10)),"N/A")</f>
        <v>0.94480328948330095</v>
      </c>
      <c r="G10" s="25">
        <f t="shared" si="2"/>
        <v>0.94924658205190471</v>
      </c>
      <c r="H10" s="25">
        <f t="shared" si="3"/>
        <v>0.99555670743139624</v>
      </c>
    </row>
    <row r="11" spans="1:16" x14ac:dyDescent="0.25">
      <c r="A11" s="3">
        <v>2019</v>
      </c>
      <c r="B11" s="23">
        <f>IFERROR('TRI 2019'!G1,"")</f>
        <v>0.31054123529644073</v>
      </c>
      <c r="C11" s="24">
        <f>IF(B11="","",HLOOKUP($C$1,Indices!A:L,11,FALSE))</f>
        <v>0.15560275729136011</v>
      </c>
      <c r="D11" s="23">
        <f t="shared" si="0"/>
        <v>0.15493847800508062</v>
      </c>
      <c r="E11" s="27">
        <f>IFERROR('Gains et contributions'!E11/('Gains et contributions'!E10+'Gains et contributions'!C11)-1,IFERROR('Gains et contributions'!D11/('Gains et contributions'!B11+'Gains et contributions'!C11),""))</f>
        <v>0.28000000000000003</v>
      </c>
      <c r="F11" s="25">
        <f t="shared" si="1"/>
        <v>1.2382036701115859</v>
      </c>
      <c r="G11" s="25">
        <f t="shared" si="2"/>
        <v>1.215035625026438</v>
      </c>
      <c r="H11" s="25">
        <f>IF(H10&lt;&gt;"N/A",(1+C11)*H10,(1+C11))</f>
        <v>1.1504680761476294</v>
      </c>
      <c r="P11" s="9"/>
    </row>
    <row r="12" spans="1:16" x14ac:dyDescent="0.25">
      <c r="A12" s="3">
        <v>2020</v>
      </c>
      <c r="B12" s="23">
        <f>IFERROR('TRI 2020'!G1,"")</f>
        <v>0.11340493859351897</v>
      </c>
      <c r="C12" s="24">
        <f>IF(B12="","",HLOOKUP($C$1,Indices!A:L,12,FALSE))</f>
        <v>0.11370544013147588</v>
      </c>
      <c r="D12" s="23">
        <f t="shared" si="0"/>
        <v>-3.0050153795690981E-4</v>
      </c>
      <c r="E12" s="27">
        <f>IFERROR('Gains et contributions'!E12/('Gains et contributions'!E11+'Gains et contributions'!C12)-1,IFERROR('Gains et contributions'!D12/('Gains et contributions'!B12+'Gains et contributions'!C12),""))</f>
        <v>7.9365079365079305E-2</v>
      </c>
      <c r="F12" s="25">
        <f t="shared" si="1"/>
        <v>1.3786220812868601</v>
      </c>
      <c r="G12" s="25">
        <f t="shared" si="2"/>
        <v>1.3114670238380599</v>
      </c>
      <c r="H12" s="25">
        <f>IF(H11&lt;&gt;"N/A",(1+C12)*H11,(1+C12))</f>
        <v>1.2812825551032079</v>
      </c>
    </row>
    <row r="13" spans="1:16" x14ac:dyDescent="0.25">
      <c r="A13" s="3">
        <v>2021</v>
      </c>
      <c r="B13" s="23">
        <f>IFERROR('TRI 2021'!G1,"")</f>
        <v>1.1196201856757071E-2</v>
      </c>
      <c r="C13" s="24">
        <f>IF(B13="","",HLOOKUP($C$1,Indices!A:L,13,FALSE))</f>
        <v>0.10121663240387141</v>
      </c>
      <c r="D13" s="23">
        <f t="shared" si="0"/>
        <v>-9.0020430547114338E-2</v>
      </c>
      <c r="E13" s="27">
        <f>IFERROR('Gains et contributions'!E13/('Gains et contributions'!E12+'Gains et contributions'!C13)-1,IFERROR('Gains et contributions'!D13/('Gains et contributions'!B13+'Gains et contributions'!C13),""))</f>
        <v>1.0638297872340496E-2</v>
      </c>
      <c r="F13" s="25">
        <f>IFERROR(IF(F12&lt;&gt;"N/A",(1+B13)*F12,(1+B13)),"N/A")</f>
        <v>1.3940574123931304</v>
      </c>
      <c r="G13" s="25">
        <f t="shared" si="2"/>
        <v>1.325418800687401</v>
      </c>
      <c r="H13" s="25">
        <f>IF(H12&lt;&gt;"N/A",(1+C13)*H12,(1+C13))</f>
        <v>1.4109696604885824</v>
      </c>
    </row>
    <row r="14" spans="1:16" x14ac:dyDescent="0.25">
      <c r="A14" s="1"/>
      <c r="B14" s="8"/>
      <c r="C14" s="8"/>
      <c r="D14" s="8"/>
      <c r="E14" s="8"/>
      <c r="F14" s="17"/>
      <c r="G14" s="17"/>
      <c r="H14" s="17"/>
      <c r="O14" s="4"/>
    </row>
    <row r="15" spans="1:16" x14ac:dyDescent="0.25">
      <c r="A15" s="1"/>
      <c r="B15" s="5"/>
      <c r="C15" s="5"/>
      <c r="D15" s="5"/>
      <c r="E15" s="5"/>
      <c r="F15" s="6"/>
      <c r="H15" s="6"/>
    </row>
    <row r="17" spans="1:16" x14ac:dyDescent="0.25">
      <c r="A17" s="2" t="s">
        <v>97</v>
      </c>
      <c r="B17" s="1" t="s">
        <v>40</v>
      </c>
      <c r="C17" s="8" t="str">
        <f>C1</f>
        <v>60% Actions / 40% obligations</v>
      </c>
      <c r="D17" s="1" t="s">
        <v>25</v>
      </c>
      <c r="F17" s="22"/>
      <c r="G17" s="3"/>
      <c r="H17" s="19"/>
    </row>
    <row r="18" spans="1:16" x14ac:dyDescent="0.25">
      <c r="A18" s="1" t="s">
        <v>36</v>
      </c>
      <c r="B18" s="27">
        <f>IFERROR(FVSCHEDULE(1,$B$12:$B13)^(1/COUNT($B$12:$B13)) -1,"")</f>
        <v>6.1070612652297518E-2</v>
      </c>
      <c r="C18" s="27">
        <f>IFERROR(FVSCHEDULE(1,$C$12:$C13)^(1/COUNT($C$12:$C13)) -1,"")</f>
        <v>0.10744343163497772</v>
      </c>
      <c r="D18" s="23">
        <f>IFERROR(B18-C18,"")</f>
        <v>-4.6372818982680197E-2</v>
      </c>
      <c r="E18" s="7"/>
      <c r="F18" s="20"/>
      <c r="G18" s="20"/>
      <c r="H18" s="19"/>
    </row>
    <row r="19" spans="1:16" x14ac:dyDescent="0.25">
      <c r="A19" s="1" t="s">
        <v>37</v>
      </c>
      <c r="B19" s="27">
        <f>IFERROR(FVSCHEDULE(1,$B$11:$B13)^(1/COUNT($B$11:$B13)) -1,"")</f>
        <v>0.13844770978946963</v>
      </c>
      <c r="C19" s="27">
        <f>IFERROR(FVSCHEDULE(1,$C$11:$C13)^(1/COUNT($C$11:$C13)) -1,"")</f>
        <v>0.1232693039407855</v>
      </c>
      <c r="D19" s="23">
        <f>IFERROR(B19-C19,"")</f>
        <v>1.5178405848684129E-2</v>
      </c>
      <c r="E19" s="7"/>
      <c r="F19" s="20"/>
      <c r="G19" s="20"/>
      <c r="H19" s="19"/>
    </row>
    <row r="20" spans="1:16" x14ac:dyDescent="0.25">
      <c r="A20" s="1" t="s">
        <v>38</v>
      </c>
      <c r="B20" s="27">
        <f>IFERROR(FVSCHEDULE(1,$B$10:$B13)^(1/COUNT($B$10:$B13)) -1,"")</f>
        <v>8.6601161660238235E-2</v>
      </c>
      <c r="C20" s="27">
        <f>IFERROR(FVSCHEDULE(1,$C$10:$C13)^(1/COUNT($C$10:$C13)) -1,"")</f>
        <v>8.9881846464187065E-2</v>
      </c>
      <c r="D20" s="23">
        <f>IFERROR(B20-C20,"")</f>
        <v>-3.2806848039488301E-3</v>
      </c>
      <c r="E20" s="7"/>
      <c r="F20" s="20"/>
      <c r="G20" s="20"/>
      <c r="H20" s="19"/>
    </row>
    <row r="21" spans="1:16" x14ac:dyDescent="0.25">
      <c r="A21" s="1" t="s">
        <v>39</v>
      </c>
      <c r="B21" s="27" t="str">
        <f>IFERROR(FVSCHEDULE(1,$B$9:$B13)^(1/COUNT(B9:B13)) -1,"")</f>
        <v/>
      </c>
      <c r="C21" s="27" t="str">
        <f>IFERROR(FVSCHEDULE(1,$C$9:$C13)^(1/COUNT($C$9:$C13)) -1,"")</f>
        <v/>
      </c>
      <c r="D21" s="23" t="str">
        <f>IFERROR(B21-C21,"")</f>
        <v/>
      </c>
      <c r="E21" s="7"/>
      <c r="F21" s="20"/>
      <c r="G21" s="20"/>
      <c r="H21" s="19"/>
    </row>
    <row r="22" spans="1:16" x14ac:dyDescent="0.25">
      <c r="A22" s="1" t="s">
        <v>35</v>
      </c>
      <c r="B22" s="27">
        <f>F13^(1/COUNT(D2:D13)) -1</f>
        <v>8.6601161660238235E-2</v>
      </c>
      <c r="C22" s="27">
        <f>H13^(1/COUNT(D2:D13)) -1</f>
        <v>8.9881846464187065E-2</v>
      </c>
      <c r="D22" s="23">
        <f>B22-C22</f>
        <v>-3.2806848039488301E-3</v>
      </c>
      <c r="E22" s="7"/>
      <c r="F22" s="20"/>
      <c r="G22" s="20"/>
      <c r="H22" s="19"/>
    </row>
    <row r="23" spans="1:16" x14ac:dyDescent="0.25">
      <c r="B23" s="1"/>
      <c r="C23" s="1"/>
      <c r="D23" s="1"/>
      <c r="G23" s="19"/>
    </row>
    <row r="24" spans="1:16" s="30" customFormat="1" x14ac:dyDescent="0.25">
      <c r="A24"/>
      <c r="B24" s="29"/>
      <c r="C24" s="29"/>
      <c r="D24" s="29"/>
      <c r="E24" s="29"/>
    </row>
    <row r="25" spans="1:16" x14ac:dyDescent="0.25">
      <c r="B25" s="13"/>
      <c r="C25" s="13"/>
      <c r="D25" s="13"/>
    </row>
    <row r="26" spans="1:16" x14ac:dyDescent="0.25">
      <c r="E26" s="18"/>
      <c r="G26" s="18"/>
    </row>
    <row r="27" spans="1:16" x14ac:dyDescent="0.25">
      <c r="E27" s="18"/>
      <c r="N27" s="21"/>
      <c r="O27" s="21"/>
    </row>
    <row r="29" spans="1:16" x14ac:dyDescent="0.25">
      <c r="E29" s="18"/>
      <c r="F29" s="6"/>
      <c r="G29" s="18"/>
      <c r="N29" s="12"/>
      <c r="O29" s="12"/>
    </row>
    <row r="30" spans="1:16" x14ac:dyDescent="0.25">
      <c r="F30" s="18"/>
      <c r="H30" s="18"/>
      <c r="N30" s="21"/>
    </row>
    <row r="31" spans="1:16" x14ac:dyDescent="0.25">
      <c r="B31" s="1"/>
      <c r="C31" s="1"/>
      <c r="D31" s="1"/>
      <c r="E31" s="7"/>
      <c r="N31" s="12"/>
      <c r="O31" s="12"/>
    </row>
    <row r="32" spans="1:16" x14ac:dyDescent="0.25">
      <c r="B32" s="1"/>
      <c r="C32" s="1"/>
      <c r="D32" s="1"/>
      <c r="E32" s="7"/>
      <c r="N32" s="12"/>
      <c r="O32" s="12"/>
      <c r="P32" s="12"/>
    </row>
    <row r="33" spans="2:16" x14ac:dyDescent="0.25">
      <c r="B33" s="1"/>
      <c r="C33" s="1"/>
      <c r="D33" s="1"/>
      <c r="E33" s="7"/>
      <c r="O33" s="12"/>
    </row>
    <row r="34" spans="2:16" x14ac:dyDescent="0.25">
      <c r="B34" s="1"/>
      <c r="C34" s="1"/>
      <c r="D34" s="1"/>
      <c r="E34" s="7"/>
    </row>
    <row r="35" spans="2:16" x14ac:dyDescent="0.25">
      <c r="B35" s="1"/>
      <c r="C35" s="1"/>
      <c r="D35" s="1"/>
      <c r="E35" s="7"/>
      <c r="O35" s="21"/>
    </row>
    <row r="36" spans="2:16" x14ac:dyDescent="0.25">
      <c r="B36" s="1"/>
      <c r="C36" s="1"/>
      <c r="D36" s="1"/>
      <c r="E36" s="7"/>
      <c r="N36" s="21"/>
    </row>
    <row r="37" spans="2:16" x14ac:dyDescent="0.25">
      <c r="N37" s="12"/>
      <c r="O37" s="12"/>
      <c r="P37" s="12"/>
    </row>
    <row r="38" spans="2:16" x14ac:dyDescent="0.25">
      <c r="N38" s="12"/>
      <c r="O38" s="12"/>
      <c r="P38" s="12"/>
    </row>
    <row r="39" spans="2:16" x14ac:dyDescent="0.25">
      <c r="N39" s="12"/>
      <c r="O39" s="12"/>
    </row>
    <row r="40" spans="2:16" x14ac:dyDescent="0.25">
      <c r="N40" s="12"/>
    </row>
    <row r="41" spans="2:16" x14ac:dyDescent="0.25">
      <c r="O41" s="12"/>
    </row>
    <row r="42" spans="2:16" x14ac:dyDescent="0.25">
      <c r="N42" s="12"/>
      <c r="O42" s="21"/>
    </row>
    <row r="43" spans="2:16" x14ac:dyDescent="0.25">
      <c r="O43" s="21"/>
    </row>
    <row r="46" spans="2:16" x14ac:dyDescent="0.25">
      <c r="N46" s="12"/>
    </row>
    <row r="47" spans="2:16" x14ac:dyDescent="0.25">
      <c r="O47" s="12"/>
    </row>
    <row r="50" spans="14:15" x14ac:dyDescent="0.25">
      <c r="O50" s="12"/>
    </row>
    <row r="51" spans="14:15" x14ac:dyDescent="0.25">
      <c r="N51" s="12"/>
    </row>
    <row r="52" spans="14:15" x14ac:dyDescent="0.25">
      <c r="O52" s="12"/>
    </row>
    <row r="57" spans="14:15" x14ac:dyDescent="0.25">
      <c r="O57" s="12"/>
    </row>
    <row r="58" spans="14:15" x14ac:dyDescent="0.25">
      <c r="O58" s="21"/>
    </row>
    <row r="61" spans="14:15" x14ac:dyDescent="0.25">
      <c r="O61" s="21"/>
    </row>
    <row r="62" spans="14:15" x14ac:dyDescent="0.25">
      <c r="O62" s="12"/>
    </row>
    <row r="67" spans="15:15" x14ac:dyDescent="0.25">
      <c r="O67" s="21"/>
    </row>
    <row r="68" spans="15:15" x14ac:dyDescent="0.25">
      <c r="O68" s="21"/>
    </row>
  </sheetData>
  <phoneticPr fontId="4" type="noConversion"/>
  <pageMargins left="0.7" right="0.7" top="0.75" bottom="0.75" header="0.3" footer="0.3"/>
  <pageSetup orientation="portrait" r:id="rId1"/>
  <ignoredErrors>
    <ignoredError sqref="G3:G10"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03A4A629-9145-4E97-8972-5EC56D2B7DCD}">
          <x14:formula1>
            <xm:f>Indices!$B$1:$L$1</xm:f>
          </x14:formula1>
          <xm:sqref>C1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CFA62-B04B-432D-A613-F5B618D89521}">
  <sheetPr codeName="Sheet4">
    <tabColor rgb="FF00B050"/>
  </sheetPr>
  <dimension ref="A1:G78"/>
  <sheetViews>
    <sheetView workbookViewId="0">
      <selection activeCell="F10" sqref="F10"/>
    </sheetView>
  </sheetViews>
  <sheetFormatPr defaultRowHeight="15" x14ac:dyDescent="0.25"/>
  <cols>
    <col min="2" max="4" width="22.7109375" customWidth="1"/>
    <col min="5" max="5" width="18" bestFit="1" customWidth="1"/>
    <col min="6" max="6" width="22.42578125" bestFit="1" customWidth="1"/>
    <col min="7" max="7" width="23" bestFit="1" customWidth="1"/>
  </cols>
  <sheetData>
    <row r="1" spans="1:7" x14ac:dyDescent="0.25">
      <c r="A1" t="s">
        <v>15</v>
      </c>
      <c r="B1" s="1" t="s">
        <v>1</v>
      </c>
      <c r="C1" s="1" t="s">
        <v>33</v>
      </c>
      <c r="D1" s="1" t="s">
        <v>28</v>
      </c>
      <c r="E1" s="1" t="s">
        <v>0</v>
      </c>
      <c r="F1" s="10" t="s">
        <v>68</v>
      </c>
      <c r="G1" s="1" t="s">
        <v>67</v>
      </c>
    </row>
    <row r="2" spans="1:7" x14ac:dyDescent="0.25">
      <c r="A2" s="3">
        <v>2010</v>
      </c>
      <c r="B2" s="26" t="str">
        <f>IF('TRI 2010'!D2 = 0,"",-'TRI 2010'!D2 )</f>
        <v/>
      </c>
      <c r="C2" s="42" t="str">
        <f>IFERROR(IF('TRI 2010'!G1&lt;&gt;"#NUM!",'TRI 2010'!D16,""),"")</f>
        <v/>
      </c>
      <c r="D2" s="26" t="str">
        <f>(IF(B2="","",'TRI 2010'!D15))</f>
        <v/>
      </c>
      <c r="E2" s="26" t="str">
        <f>IF(B2="","",'TRI 2010'!$D$14)</f>
        <v/>
      </c>
      <c r="F2" s="24" t="str">
        <f t="shared" ref="F2:F13" si="0">IFERROR(E2/B2 -1,"")</f>
        <v/>
      </c>
      <c r="G2" s="26" t="str">
        <f t="shared" ref="G2:G13" si="1">IFERROR(E2-B2,"")</f>
        <v/>
      </c>
    </row>
    <row r="3" spans="1:7" x14ac:dyDescent="0.25">
      <c r="A3" s="3">
        <v>2011</v>
      </c>
      <c r="B3" s="26" t="str">
        <f>IF('TRI 2011'!D2 = 0,"",-'TRI 2011'!D2 )</f>
        <v/>
      </c>
      <c r="C3" s="26" t="str">
        <f>IFERROR(IF('TRI 2011'!G1&lt;&gt;"#NUM!",'TRI 2011'!D16,""),"")</f>
        <v/>
      </c>
      <c r="D3" s="26" t="str">
        <f>(IF(B3="","",'TRI 2011'!D15))</f>
        <v/>
      </c>
      <c r="E3" s="26" t="str">
        <f>IF(B3="","",'TRI 2011'!$D$14)</f>
        <v/>
      </c>
      <c r="F3" s="24" t="str">
        <f t="shared" si="0"/>
        <v/>
      </c>
      <c r="G3" s="26" t="str">
        <f t="shared" si="1"/>
        <v/>
      </c>
    </row>
    <row r="4" spans="1:7" x14ac:dyDescent="0.25">
      <c r="A4" s="3">
        <v>2012</v>
      </c>
      <c r="B4" s="26" t="str">
        <f>IF('TRI 2012'!D2 = 0,"",-'TRI 2012'!D2 )</f>
        <v/>
      </c>
      <c r="C4" s="26" t="str">
        <f>IFERROR(IF('TRI 2012'!G1&lt;&gt;"#NUM!",'TRI 2012'!D16,""),"")</f>
        <v/>
      </c>
      <c r="D4" s="26" t="str">
        <f>(IF(B4="","",'TRI 2012'!D15))</f>
        <v/>
      </c>
      <c r="E4" s="26" t="str">
        <f>IF(B4="","",'TRI 2012'!$D$14)</f>
        <v/>
      </c>
      <c r="F4" s="24" t="str">
        <f t="shared" si="0"/>
        <v/>
      </c>
      <c r="G4" s="26" t="str">
        <f t="shared" si="1"/>
        <v/>
      </c>
    </row>
    <row r="5" spans="1:7" x14ac:dyDescent="0.25">
      <c r="A5" s="3">
        <v>2013</v>
      </c>
      <c r="B5" s="26" t="str">
        <f>IF('TRI 2013'!D2 = 0,"",-'TRI 2013'!D2 )</f>
        <v/>
      </c>
      <c r="C5" s="26" t="str">
        <f>IFERROR(IF('TRI 2013'!G1&lt;&gt;"#NUM!",'TRI 2013'!D16,""),"")</f>
        <v/>
      </c>
      <c r="D5" s="26" t="str">
        <f>(IF(B5="","",'TRI 2013'!D15))</f>
        <v/>
      </c>
      <c r="E5" s="26" t="str">
        <f>IF(B5="","",'TRI 2013'!$D$14)</f>
        <v/>
      </c>
      <c r="F5" s="24" t="str">
        <f t="shared" si="0"/>
        <v/>
      </c>
      <c r="G5" s="26" t="str">
        <f t="shared" si="1"/>
        <v/>
      </c>
    </row>
    <row r="6" spans="1:7" x14ac:dyDescent="0.25">
      <c r="A6" s="3">
        <v>2014</v>
      </c>
      <c r="B6" s="26" t="str">
        <f>IF('TRI 2014'!D2 = 0,"",-'TRI 2014'!D2 )</f>
        <v/>
      </c>
      <c r="C6" s="26" t="str">
        <f>IFERROR(IF('TRI 2014'!G1&lt;&gt;"#NUM!",'TRI 2014'!D16,""),"")</f>
        <v/>
      </c>
      <c r="D6" s="26" t="str">
        <f>(IF(B6="","",'TRI 2014'!D15))</f>
        <v/>
      </c>
      <c r="E6" s="26" t="str">
        <f>IF(B6="","",'TRI 2014'!$D$14)</f>
        <v/>
      </c>
      <c r="F6" s="24" t="str">
        <f t="shared" si="0"/>
        <v/>
      </c>
      <c r="G6" s="26" t="str">
        <f t="shared" si="1"/>
        <v/>
      </c>
    </row>
    <row r="7" spans="1:7" x14ac:dyDescent="0.25">
      <c r="A7" s="3">
        <v>2015</v>
      </c>
      <c r="B7" s="26" t="str">
        <f>IF('TRI 2015'!D2 = 0,"",-'TRI 2015'!D2 )</f>
        <v/>
      </c>
      <c r="C7" s="26" t="str">
        <f>IFERROR(IF('TRI 2015'!G1&lt;&gt;"#NUM!",'TRI 2015'!D16,""),"")</f>
        <v/>
      </c>
      <c r="D7" s="26" t="str">
        <f>(IF(B7="","",'TRI 2015'!D15))</f>
        <v/>
      </c>
      <c r="E7" s="26" t="str">
        <f>IF(B7="","",'TRI 2015'!$D$14)</f>
        <v/>
      </c>
      <c r="F7" s="24" t="str">
        <f t="shared" si="0"/>
        <v/>
      </c>
      <c r="G7" s="26" t="str">
        <f t="shared" si="1"/>
        <v/>
      </c>
    </row>
    <row r="8" spans="1:7" x14ac:dyDescent="0.25">
      <c r="A8" s="3">
        <v>2016</v>
      </c>
      <c r="B8" s="26" t="str">
        <f>IF('TRI 2016'!D2 = 0,"",-'TRI 2016'!D2 )</f>
        <v/>
      </c>
      <c r="C8" s="26" t="str">
        <f>IFERROR(IF('TRI 2016'!G1&lt;&gt;"#NUM!",'TRI 2016'!D16,""),"")</f>
        <v/>
      </c>
      <c r="D8" s="26" t="str">
        <f>(IF(B8="","",'TRI 2016'!D15))</f>
        <v/>
      </c>
      <c r="E8" s="26" t="str">
        <f>IF(B8="","",'TRI 2016'!$D$14)</f>
        <v/>
      </c>
      <c r="F8" s="24" t="str">
        <f t="shared" si="0"/>
        <v/>
      </c>
      <c r="G8" s="26" t="str">
        <f t="shared" si="1"/>
        <v/>
      </c>
    </row>
    <row r="9" spans="1:7" x14ac:dyDescent="0.25">
      <c r="A9" s="3">
        <v>2017</v>
      </c>
      <c r="B9" s="26" t="str">
        <f>IF('TRI 2017'!D2 = 0,"",-'TRI 2018'!D2 )</f>
        <v/>
      </c>
      <c r="C9" s="26" t="str">
        <f>IFERROR(IF('TRI 2017'!G1&lt;&gt;"#NUM!",'TRI 2017'!D16,""),"")</f>
        <v/>
      </c>
      <c r="D9" s="26" t="str">
        <f>(IF(B9="","",'TRI 2017'!D15))</f>
        <v/>
      </c>
      <c r="E9" s="26" t="str">
        <f>IF(B9="","",'TRI 2017'!$D$14)</f>
        <v/>
      </c>
      <c r="F9" s="24" t="str">
        <f t="shared" si="0"/>
        <v/>
      </c>
      <c r="G9" s="26" t="str">
        <f t="shared" si="1"/>
        <v/>
      </c>
    </row>
    <row r="10" spans="1:7" x14ac:dyDescent="0.25">
      <c r="A10" s="3">
        <v>2018</v>
      </c>
      <c r="B10" s="44">
        <f>IF('TRI 2018'!D2 = 0,"",-'TRI 2018'!D2 )</f>
        <v>15000</v>
      </c>
      <c r="C10" s="44">
        <f>IFERROR(IF('TRI 2018'!G1&lt;&gt;"#NUM!",-'TRI 2018'!D16,""),"")</f>
        <v>6000</v>
      </c>
      <c r="D10" s="44">
        <f>IF(Rendements!F10="N/A","",E10-B10-C10)</f>
        <v>-1000</v>
      </c>
      <c r="E10" s="44">
        <f>IF(B10="","",'TRI 2018'!$D$14)</f>
        <v>20000</v>
      </c>
      <c r="F10" s="24">
        <f t="shared" si="0"/>
        <v>0.33333333333333326</v>
      </c>
      <c r="G10" s="44">
        <f t="shared" si="1"/>
        <v>5000</v>
      </c>
    </row>
    <row r="11" spans="1:7" x14ac:dyDescent="0.25">
      <c r="A11" s="3">
        <v>2019</v>
      </c>
      <c r="B11" s="44">
        <f>IF('TRI 2019'!D2 = 0,"",-'TRI 2019'!D2 )</f>
        <v>20000</v>
      </c>
      <c r="C11" s="44">
        <f>IFERROR(IF('TRI 2019'!G1&lt;&gt;"#NUM!",-'TRI 2019'!D16,""),"")</f>
        <v>5000</v>
      </c>
      <c r="D11" s="44">
        <f>IF(Rendements!F11="N/A","",E11-B11-C11)</f>
        <v>7000</v>
      </c>
      <c r="E11" s="44">
        <f>IF(B11="","",'TRI 2019'!$D$14)</f>
        <v>32000</v>
      </c>
      <c r="F11" s="24">
        <f t="shared" si="0"/>
        <v>0.60000000000000009</v>
      </c>
      <c r="G11" s="44">
        <f>IFERROR(E11-B11,"")</f>
        <v>12000</v>
      </c>
    </row>
    <row r="12" spans="1:7" x14ac:dyDescent="0.25">
      <c r="A12" s="3">
        <v>2020</v>
      </c>
      <c r="B12" s="44">
        <f>IF('TRI 2020'!D2 = 0,"",-'TRI 2020'!D2 )</f>
        <v>32000</v>
      </c>
      <c r="C12" s="44">
        <f>IFERROR(IF('TRI 2020'!G1&lt;&gt;"#NUM!",-'TRI 2020'!D16,""),"")</f>
        <v>-500</v>
      </c>
      <c r="D12" s="44">
        <f>IF(Rendements!F12="N/A","",E12-B12-C12)</f>
        <v>2500</v>
      </c>
      <c r="E12" s="44">
        <f>IF(B12="","",'TRI 2020'!$D$14)</f>
        <v>34000</v>
      </c>
      <c r="F12" s="24">
        <f t="shared" si="0"/>
        <v>6.25E-2</v>
      </c>
      <c r="G12" s="44">
        <f t="shared" si="1"/>
        <v>2000</v>
      </c>
    </row>
    <row r="13" spans="1:7" x14ac:dyDescent="0.25">
      <c r="A13" s="3">
        <v>2021</v>
      </c>
      <c r="B13" s="44">
        <f>IF('TRI 2021'!D2 = 0,"",-'TRI 2021'!D2 )</f>
        <v>40000</v>
      </c>
      <c r="C13" s="44">
        <f>IFERROR(IF('TRI 2021'!G1&lt;&gt;"#NUM!",-'TRI 2021'!D16,""),"")</f>
        <v>13000</v>
      </c>
      <c r="D13" s="44">
        <f>IF(Rendements!F13="N/A","",E13-B13-C13)</f>
        <v>-5500</v>
      </c>
      <c r="E13" s="44">
        <f>IF(B13="","",'TRI 2021'!$D$14)</f>
        <v>47500</v>
      </c>
      <c r="F13" s="24">
        <f t="shared" si="0"/>
        <v>0.1875</v>
      </c>
      <c r="G13" s="44">
        <f t="shared" si="1"/>
        <v>7500</v>
      </c>
    </row>
    <row r="14" spans="1:7" x14ac:dyDescent="0.25">
      <c r="B14" s="19"/>
      <c r="C14" s="19"/>
      <c r="D14" s="19"/>
      <c r="E14" s="19"/>
      <c r="F14" s="16"/>
    </row>
    <row r="15" spans="1:7" x14ac:dyDescent="0.25">
      <c r="B15" s="19"/>
      <c r="C15" s="19"/>
      <c r="D15" s="31"/>
      <c r="E15" s="19"/>
      <c r="F15" s="16"/>
    </row>
    <row r="16" spans="1:7" x14ac:dyDescent="0.25">
      <c r="B16" s="19"/>
      <c r="C16" s="19"/>
      <c r="D16" s="19"/>
      <c r="E16" s="31"/>
      <c r="F16" s="16"/>
    </row>
    <row r="17" spans="2:6" x14ac:dyDescent="0.25">
      <c r="B17" s="19"/>
      <c r="C17" s="19"/>
      <c r="D17" s="31"/>
    </row>
    <row r="18" spans="2:6" x14ac:dyDescent="0.25">
      <c r="B18" s="19"/>
      <c r="C18" s="19"/>
      <c r="D18" s="16"/>
    </row>
    <row r="19" spans="2:6" x14ac:dyDescent="0.25">
      <c r="B19" s="19"/>
      <c r="C19" s="19"/>
      <c r="D19" s="16"/>
    </row>
    <row r="20" spans="2:6" x14ac:dyDescent="0.25">
      <c r="B20" s="19"/>
      <c r="C20" s="19"/>
      <c r="D20" s="16"/>
    </row>
    <row r="21" spans="2:6" x14ac:dyDescent="0.25">
      <c r="B21" s="19"/>
      <c r="C21" s="19"/>
      <c r="D21" s="16"/>
    </row>
    <row r="22" spans="2:6" x14ac:dyDescent="0.25">
      <c r="B22" s="19"/>
      <c r="C22" s="19"/>
      <c r="D22" s="16"/>
      <c r="E22" s="12"/>
    </row>
    <row r="23" spans="2:6" x14ac:dyDescent="0.25">
      <c r="B23" s="19"/>
      <c r="C23" s="19"/>
      <c r="D23" s="19"/>
      <c r="E23" s="16"/>
    </row>
    <row r="24" spans="2:6" x14ac:dyDescent="0.25">
      <c r="B24" s="19"/>
      <c r="C24" s="19"/>
      <c r="D24" s="19"/>
      <c r="E24" s="19"/>
      <c r="F24" s="16"/>
    </row>
    <row r="25" spans="2:6" x14ac:dyDescent="0.25">
      <c r="B25" s="19"/>
      <c r="C25" s="19"/>
      <c r="D25" s="19"/>
      <c r="E25" s="19"/>
      <c r="F25" s="16"/>
    </row>
    <row r="26" spans="2:6" x14ac:dyDescent="0.25">
      <c r="B26" s="19"/>
      <c r="C26" s="19"/>
      <c r="D26" s="19"/>
      <c r="E26" s="19"/>
      <c r="F26" s="16"/>
    </row>
    <row r="27" spans="2:6" x14ac:dyDescent="0.25">
      <c r="B27" s="19"/>
      <c r="C27" s="19"/>
      <c r="D27" s="19"/>
      <c r="E27" s="19"/>
      <c r="F27" s="16"/>
    </row>
    <row r="28" spans="2:6" x14ac:dyDescent="0.25">
      <c r="B28" s="19"/>
      <c r="C28" s="19"/>
      <c r="D28" s="19"/>
      <c r="E28" s="19"/>
      <c r="F28" s="16"/>
    </row>
    <row r="29" spans="2:6" x14ac:dyDescent="0.25">
      <c r="B29" s="19"/>
      <c r="C29" s="19"/>
      <c r="D29" s="19"/>
      <c r="E29" s="19"/>
      <c r="F29" s="16"/>
    </row>
    <row r="30" spans="2:6" x14ac:dyDescent="0.25">
      <c r="B30" s="19"/>
      <c r="C30" s="19"/>
      <c r="D30" s="19"/>
      <c r="E30" s="19"/>
      <c r="F30" s="16"/>
    </row>
    <row r="31" spans="2:6" x14ac:dyDescent="0.25">
      <c r="B31" s="19"/>
      <c r="C31" s="19"/>
      <c r="D31" s="19"/>
      <c r="E31" s="19"/>
      <c r="F31" s="16"/>
    </row>
    <row r="32" spans="2:6" x14ac:dyDescent="0.25">
      <c r="B32" s="19"/>
      <c r="C32" s="19"/>
      <c r="D32" s="19"/>
      <c r="E32" s="19"/>
      <c r="F32" s="16"/>
    </row>
    <row r="33" spans="2:6" x14ac:dyDescent="0.25">
      <c r="B33" s="19"/>
      <c r="C33" s="19"/>
      <c r="D33" s="19"/>
      <c r="E33" s="19"/>
      <c r="F33" s="16"/>
    </row>
    <row r="34" spans="2:6" x14ac:dyDescent="0.25">
      <c r="B34" s="19"/>
      <c r="C34" s="19"/>
      <c r="D34" s="19"/>
      <c r="E34" s="19"/>
      <c r="F34" s="16"/>
    </row>
    <row r="35" spans="2:6" x14ac:dyDescent="0.25">
      <c r="B35" s="19"/>
      <c r="C35" s="19"/>
      <c r="D35" s="19"/>
      <c r="E35" s="19"/>
      <c r="F35" s="16"/>
    </row>
    <row r="36" spans="2:6" x14ac:dyDescent="0.25">
      <c r="B36" s="19"/>
      <c r="C36" s="19"/>
      <c r="D36" s="19"/>
      <c r="E36" s="19"/>
      <c r="F36" s="16"/>
    </row>
    <row r="37" spans="2:6" x14ac:dyDescent="0.25">
      <c r="B37" s="19"/>
      <c r="C37" s="19"/>
      <c r="D37" s="19"/>
      <c r="E37" s="19"/>
      <c r="F37" s="16"/>
    </row>
    <row r="38" spans="2:6" x14ac:dyDescent="0.25">
      <c r="B38" s="19"/>
      <c r="C38" s="19"/>
      <c r="D38" s="19"/>
      <c r="E38" s="19"/>
      <c r="F38" s="16"/>
    </row>
    <row r="39" spans="2:6" x14ac:dyDescent="0.25">
      <c r="B39" s="19"/>
      <c r="C39" s="19"/>
      <c r="D39" s="19"/>
      <c r="E39" s="19"/>
      <c r="F39" s="16"/>
    </row>
    <row r="40" spans="2:6" x14ac:dyDescent="0.25">
      <c r="B40" s="19"/>
      <c r="C40" s="19"/>
      <c r="D40" s="19"/>
      <c r="E40" s="19"/>
      <c r="F40" s="16"/>
    </row>
    <row r="41" spans="2:6" x14ac:dyDescent="0.25">
      <c r="B41" s="19"/>
      <c r="C41" s="19"/>
      <c r="D41" s="19"/>
      <c r="E41" s="19"/>
      <c r="F41" s="16"/>
    </row>
    <row r="42" spans="2:6" x14ac:dyDescent="0.25">
      <c r="B42" s="19"/>
      <c r="C42" s="19"/>
      <c r="D42" s="19"/>
      <c r="E42" s="19"/>
      <c r="F42" s="16"/>
    </row>
    <row r="43" spans="2:6" x14ac:dyDescent="0.25">
      <c r="B43" s="19"/>
      <c r="C43" s="19"/>
      <c r="D43" s="19"/>
      <c r="E43" s="19"/>
      <c r="F43" s="16"/>
    </row>
    <row r="44" spans="2:6" x14ac:dyDescent="0.25">
      <c r="B44" s="19"/>
      <c r="C44" s="19"/>
      <c r="D44" s="19"/>
      <c r="E44" s="19"/>
      <c r="F44" s="16"/>
    </row>
    <row r="45" spans="2:6" x14ac:dyDescent="0.25">
      <c r="B45" s="19"/>
      <c r="C45" s="19"/>
      <c r="D45" s="19"/>
      <c r="E45" s="19"/>
      <c r="F45" s="16"/>
    </row>
    <row r="46" spans="2:6" x14ac:dyDescent="0.25">
      <c r="B46" s="19"/>
      <c r="C46" s="19"/>
      <c r="D46" s="19"/>
      <c r="E46" s="19"/>
      <c r="F46" s="16"/>
    </row>
    <row r="47" spans="2:6" x14ac:dyDescent="0.25">
      <c r="B47" s="19"/>
      <c r="C47" s="19"/>
      <c r="D47" s="19"/>
      <c r="E47" s="19"/>
      <c r="F47" s="16"/>
    </row>
    <row r="48" spans="2:6" x14ac:dyDescent="0.25">
      <c r="B48" s="19"/>
      <c r="C48" s="19"/>
      <c r="D48" s="19"/>
      <c r="E48" s="19"/>
      <c r="F48" s="16"/>
    </row>
    <row r="49" spans="2:6" x14ac:dyDescent="0.25">
      <c r="B49" s="19"/>
      <c r="C49" s="19"/>
      <c r="D49" s="19"/>
      <c r="E49" s="19"/>
      <c r="F49" s="16"/>
    </row>
    <row r="50" spans="2:6" x14ac:dyDescent="0.25">
      <c r="B50" s="19"/>
      <c r="C50" s="19"/>
      <c r="D50" s="19"/>
      <c r="E50" s="19"/>
      <c r="F50" s="16"/>
    </row>
    <row r="51" spans="2:6" x14ac:dyDescent="0.25">
      <c r="B51" s="19"/>
      <c r="C51" s="19"/>
      <c r="D51" s="19"/>
      <c r="E51" s="19"/>
      <c r="F51" s="16"/>
    </row>
    <row r="52" spans="2:6" x14ac:dyDescent="0.25">
      <c r="B52" s="19"/>
      <c r="C52" s="19"/>
      <c r="D52" s="19"/>
      <c r="E52" s="19"/>
      <c r="F52" s="16"/>
    </row>
    <row r="53" spans="2:6" x14ac:dyDescent="0.25">
      <c r="E53" s="15">
        <f>(E52+Rendements!$P$12)*(1+Rendements!$P$11)</f>
        <v>0</v>
      </c>
    </row>
    <row r="54" spans="2:6" x14ac:dyDescent="0.25">
      <c r="E54" s="15">
        <f>(E53+Rendements!$P$12)*(1+Rendements!$P$11)</f>
        <v>0</v>
      </c>
    </row>
    <row r="55" spans="2:6" x14ac:dyDescent="0.25">
      <c r="E55" s="15">
        <f>(E54+Rendements!$P$12)*(1+Rendements!$P$11)</f>
        <v>0</v>
      </c>
    </row>
    <row r="56" spans="2:6" x14ac:dyDescent="0.25">
      <c r="E56" s="15">
        <f>(E55+Rendements!$P$12)*(1+Rendements!$P$11)</f>
        <v>0</v>
      </c>
    </row>
    <row r="57" spans="2:6" x14ac:dyDescent="0.25">
      <c r="E57" s="15">
        <f>(E56+Rendements!$P$12)*(1+Rendements!$P$11)</f>
        <v>0</v>
      </c>
    </row>
    <row r="58" spans="2:6" x14ac:dyDescent="0.25">
      <c r="E58" s="15">
        <f>(E57+Rendements!$P$12)*(1+Rendements!$P$11)</f>
        <v>0</v>
      </c>
    </row>
    <row r="59" spans="2:6" x14ac:dyDescent="0.25">
      <c r="E59" s="15">
        <f>(E58+Rendements!$P$12)*(1+Rendements!$P$11)</f>
        <v>0</v>
      </c>
    </row>
    <row r="60" spans="2:6" x14ac:dyDescent="0.25">
      <c r="E60" s="15">
        <f>(E59+Rendements!$P$12)*(1+Rendements!$P$11)</f>
        <v>0</v>
      </c>
    </row>
    <row r="61" spans="2:6" x14ac:dyDescent="0.25">
      <c r="E61" s="15">
        <f>(E60+Rendements!$P$12)*(1+Rendements!$P$11)</f>
        <v>0</v>
      </c>
    </row>
    <row r="62" spans="2:6" x14ac:dyDescent="0.25">
      <c r="E62" s="15">
        <f>(E61+Rendements!$P$12)*(1+Rendements!$P$11)</f>
        <v>0</v>
      </c>
    </row>
    <row r="63" spans="2:6" x14ac:dyDescent="0.25">
      <c r="E63" s="15">
        <f>(E62+Rendements!$P$12)*(1+Rendements!$P$11)</f>
        <v>0</v>
      </c>
    </row>
    <row r="64" spans="2:6" x14ac:dyDescent="0.25">
      <c r="E64" s="15">
        <f>(E63+Rendements!$P$12)*(1+Rendements!$P$11)</f>
        <v>0</v>
      </c>
    </row>
    <row r="65" spans="5:5" x14ac:dyDescent="0.25">
      <c r="E65" s="15">
        <f>(E64+Rendements!$P$12)*(1+Rendements!$P$11)</f>
        <v>0</v>
      </c>
    </row>
    <row r="66" spans="5:5" x14ac:dyDescent="0.25">
      <c r="E66" s="15">
        <f>(E65+Rendements!$P$12)*(1+Rendements!$P$11)</f>
        <v>0</v>
      </c>
    </row>
    <row r="67" spans="5:5" x14ac:dyDescent="0.25">
      <c r="E67" s="15">
        <f>(E66+Rendements!$P$12)*(1+Rendements!$P$11)</f>
        <v>0</v>
      </c>
    </row>
    <row r="68" spans="5:5" x14ac:dyDescent="0.25">
      <c r="E68" s="15">
        <f>(E67+Rendements!$P$12)*(1+Rendements!$P$11)</f>
        <v>0</v>
      </c>
    </row>
    <row r="69" spans="5:5" x14ac:dyDescent="0.25">
      <c r="E69" s="15">
        <f>(E68+Rendements!$P$12)*(1+Rendements!$P$11)</f>
        <v>0</v>
      </c>
    </row>
    <row r="70" spans="5:5" x14ac:dyDescent="0.25">
      <c r="E70" s="15">
        <f>(E69+Rendements!$P$12)*(1+Rendements!$P$11)</f>
        <v>0</v>
      </c>
    </row>
    <row r="71" spans="5:5" x14ac:dyDescent="0.25">
      <c r="E71" s="15">
        <f>(E70+Rendements!$P$12)*(1+Rendements!$P$11)</f>
        <v>0</v>
      </c>
    </row>
    <row r="72" spans="5:5" x14ac:dyDescent="0.25">
      <c r="E72" s="15">
        <f>(E71+Rendements!$P$12)*(1+Rendements!$P$11)</f>
        <v>0</v>
      </c>
    </row>
    <row r="73" spans="5:5" x14ac:dyDescent="0.25">
      <c r="E73" s="15">
        <f>(E72+Rendements!$P$12)*(1+Rendements!$P$11)</f>
        <v>0</v>
      </c>
    </row>
    <row r="74" spans="5:5" x14ac:dyDescent="0.25">
      <c r="E74" s="15">
        <f>(E73+Rendements!$P$12)*(1+Rendements!$P$11)</f>
        <v>0</v>
      </c>
    </row>
    <row r="75" spans="5:5" x14ac:dyDescent="0.25">
      <c r="E75" s="15">
        <f>(E74+Rendements!$P$12)*(1+Rendements!$P$11)</f>
        <v>0</v>
      </c>
    </row>
    <row r="76" spans="5:5" x14ac:dyDescent="0.25">
      <c r="E76" s="15">
        <f>(E75+Rendements!$P$12)*(1+Rendements!$P$11)</f>
        <v>0</v>
      </c>
    </row>
    <row r="77" spans="5:5" x14ac:dyDescent="0.25">
      <c r="E77" s="15">
        <f>(E76+Rendements!$P$12)*(1+Rendements!$P$11)</f>
        <v>0</v>
      </c>
    </row>
    <row r="78" spans="5:5" x14ac:dyDescent="0.25">
      <c r="E78" s="15">
        <f>(E77+Rendements!$P$12)*(1+Rendements!$P$11)</f>
        <v>0</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24792-7141-48B4-BA32-BD3B9A0F83C0}">
  <sheetPr codeName="Sheet5">
    <tabColor rgb="FF00B0F0"/>
  </sheetPr>
  <dimension ref="C1:G16"/>
  <sheetViews>
    <sheetView tabSelected="1" topLeftCell="B1" workbookViewId="0">
      <selection activeCell="E23" sqref="E23"/>
    </sheetView>
  </sheetViews>
  <sheetFormatPr defaultRowHeight="15" x14ac:dyDescent="0.25"/>
  <cols>
    <col min="3" max="3" width="51.140625" bestFit="1" customWidth="1"/>
    <col min="4" max="4" width="10.7109375" bestFit="1" customWidth="1"/>
    <col min="5" max="5" width="55.42578125" bestFit="1" customWidth="1"/>
  </cols>
  <sheetData>
    <row r="1" spans="3:7" x14ac:dyDescent="0.25">
      <c r="F1" t="s">
        <v>34</v>
      </c>
      <c r="G1" s="28">
        <f>(1+IRR(D2:D14))^12 -1</f>
        <v>1.1196201856757071E-2</v>
      </c>
    </row>
    <row r="2" spans="3:7" x14ac:dyDescent="0.25">
      <c r="C2" t="s">
        <v>2</v>
      </c>
      <c r="D2" s="14">
        <f>-'TRI 2020'!D14-6000</f>
        <v>-40000</v>
      </c>
      <c r="E2" t="s">
        <v>98</v>
      </c>
    </row>
    <row r="3" spans="3:7" x14ac:dyDescent="0.25">
      <c r="C3" t="s">
        <v>3</v>
      </c>
      <c r="D3" s="14">
        <v>0</v>
      </c>
    </row>
    <row r="4" spans="3:7" x14ac:dyDescent="0.25">
      <c r="C4" t="s">
        <v>4</v>
      </c>
      <c r="D4" s="14">
        <v>0</v>
      </c>
    </row>
    <row r="5" spans="3:7" x14ac:dyDescent="0.25">
      <c r="C5" t="s">
        <v>5</v>
      </c>
      <c r="D5" s="14">
        <v>0</v>
      </c>
    </row>
    <row r="6" spans="3:7" x14ac:dyDescent="0.25">
      <c r="C6" t="s">
        <v>6</v>
      </c>
      <c r="D6" s="14">
        <v>-7000</v>
      </c>
      <c r="E6" t="s">
        <v>80</v>
      </c>
    </row>
    <row r="7" spans="3:7" x14ac:dyDescent="0.25">
      <c r="C7" t="s">
        <v>7</v>
      </c>
      <c r="D7" s="14">
        <v>0</v>
      </c>
    </row>
    <row r="8" spans="3:7" x14ac:dyDescent="0.25">
      <c r="C8" t="s">
        <v>8</v>
      </c>
      <c r="D8" s="14">
        <v>0</v>
      </c>
    </row>
    <row r="9" spans="3:7" x14ac:dyDescent="0.25">
      <c r="C9" t="s">
        <v>9</v>
      </c>
      <c r="D9" s="14">
        <v>0</v>
      </c>
    </row>
    <row r="10" spans="3:7" x14ac:dyDescent="0.25">
      <c r="C10" t="s">
        <v>10</v>
      </c>
      <c r="D10" s="14">
        <v>0</v>
      </c>
    </row>
    <row r="11" spans="3:7" x14ac:dyDescent="0.25">
      <c r="C11" t="s">
        <v>11</v>
      </c>
      <c r="D11" s="14">
        <v>0</v>
      </c>
    </row>
    <row r="12" spans="3:7" x14ac:dyDescent="0.25">
      <c r="C12" t="s">
        <v>12</v>
      </c>
      <c r="D12" s="14">
        <v>0</v>
      </c>
    </row>
    <row r="13" spans="3:7" x14ac:dyDescent="0.25">
      <c r="C13" t="s">
        <v>13</v>
      </c>
      <c r="D13" s="14">
        <v>0</v>
      </c>
    </row>
    <row r="14" spans="3:7" x14ac:dyDescent="0.25">
      <c r="C14" t="s">
        <v>14</v>
      </c>
      <c r="D14" s="14">
        <v>47500</v>
      </c>
      <c r="E14" t="s">
        <v>27</v>
      </c>
    </row>
    <row r="15" spans="3:7" x14ac:dyDescent="0.25">
      <c r="D15" s="30"/>
    </row>
    <row r="16" spans="3:7" x14ac:dyDescent="0.25">
      <c r="C16" s="30" t="s">
        <v>81</v>
      </c>
      <c r="D16" s="14">
        <f>-7000-6000</f>
        <v>-13000</v>
      </c>
      <c r="E16" t="s">
        <v>93</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D4FDD-7B04-4E4E-9BC7-7ED55FD542D4}">
  <sheetPr codeName="Sheet6">
    <tabColor rgb="FF00B0F0"/>
  </sheetPr>
  <dimension ref="C1:G16"/>
  <sheetViews>
    <sheetView topLeftCell="B1" workbookViewId="0">
      <selection activeCell="G2" sqref="G2"/>
    </sheetView>
  </sheetViews>
  <sheetFormatPr defaultRowHeight="15" x14ac:dyDescent="0.25"/>
  <cols>
    <col min="3" max="3" width="20.85546875" bestFit="1" customWidth="1"/>
    <col min="4" max="4" width="9.7109375" bestFit="1" customWidth="1"/>
    <col min="5" max="5" width="13.85546875" bestFit="1" customWidth="1"/>
  </cols>
  <sheetData>
    <row r="1" spans="3:7" x14ac:dyDescent="0.25">
      <c r="F1" t="s">
        <v>34</v>
      </c>
      <c r="G1" s="28">
        <f>(1+IRR(D2:D14))^12 -1</f>
        <v>0.11340493859351897</v>
      </c>
    </row>
    <row r="2" spans="3:7" x14ac:dyDescent="0.25">
      <c r="C2" t="s">
        <v>2</v>
      </c>
      <c r="D2" s="14">
        <f>-'TRI 2019'!D14</f>
        <v>-32000</v>
      </c>
      <c r="E2" t="s">
        <v>26</v>
      </c>
    </row>
    <row r="3" spans="3:7" x14ac:dyDescent="0.25">
      <c r="C3" t="s">
        <v>3</v>
      </c>
      <c r="D3" s="14">
        <v>0</v>
      </c>
    </row>
    <row r="4" spans="3:7" x14ac:dyDescent="0.25">
      <c r="C4" t="s">
        <v>4</v>
      </c>
      <c r="D4" s="14">
        <v>0</v>
      </c>
    </row>
    <row r="5" spans="3:7" x14ac:dyDescent="0.25">
      <c r="C5" t="s">
        <v>5</v>
      </c>
      <c r="D5" s="14">
        <v>0</v>
      </c>
    </row>
    <row r="6" spans="3:7" x14ac:dyDescent="0.25">
      <c r="C6" t="s">
        <v>6</v>
      </c>
      <c r="D6" s="14">
        <v>0</v>
      </c>
    </row>
    <row r="7" spans="3:7" x14ac:dyDescent="0.25">
      <c r="C7" t="s">
        <v>7</v>
      </c>
      <c r="D7" s="14">
        <v>0</v>
      </c>
    </row>
    <row r="8" spans="3:7" x14ac:dyDescent="0.25">
      <c r="C8" t="s">
        <v>8</v>
      </c>
      <c r="D8" s="14">
        <v>2500</v>
      </c>
      <c r="E8" t="s">
        <v>51</v>
      </c>
    </row>
    <row r="9" spans="3:7" x14ac:dyDescent="0.25">
      <c r="C9" t="s">
        <v>9</v>
      </c>
      <c r="D9" s="14">
        <v>0</v>
      </c>
    </row>
    <row r="10" spans="3:7" x14ac:dyDescent="0.25">
      <c r="C10" t="s">
        <v>10</v>
      </c>
      <c r="D10" s="14">
        <v>0</v>
      </c>
    </row>
    <row r="11" spans="3:7" x14ac:dyDescent="0.25">
      <c r="C11" t="s">
        <v>11</v>
      </c>
      <c r="D11" s="14">
        <v>0</v>
      </c>
    </row>
    <row r="12" spans="3:7" x14ac:dyDescent="0.25">
      <c r="C12" t="s">
        <v>12</v>
      </c>
      <c r="D12" s="14">
        <v>0</v>
      </c>
    </row>
    <row r="13" spans="3:7" x14ac:dyDescent="0.25">
      <c r="C13" t="s">
        <v>13</v>
      </c>
      <c r="D13" s="14">
        <v>-1000</v>
      </c>
      <c r="E13" t="s">
        <v>83</v>
      </c>
    </row>
    <row r="14" spans="3:7" x14ac:dyDescent="0.25">
      <c r="C14" t="s">
        <v>14</v>
      </c>
      <c r="D14" s="14">
        <f>35000-1000</f>
        <v>34000</v>
      </c>
      <c r="E14" t="s">
        <v>82</v>
      </c>
    </row>
    <row r="15" spans="3:7" x14ac:dyDescent="0.25">
      <c r="D15" s="30"/>
    </row>
    <row r="16" spans="3:7" x14ac:dyDescent="0.25">
      <c r="C16" s="30" t="s">
        <v>81</v>
      </c>
      <c r="D16" s="14">
        <f>2500-2000</f>
        <v>500</v>
      </c>
      <c r="E16" t="s">
        <v>92</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F0792-415D-4725-8B47-7E1D95FB1A37}">
  <sheetPr codeName="Sheet7">
    <tabColor rgb="FF00B0F0"/>
  </sheetPr>
  <dimension ref="C1:G16"/>
  <sheetViews>
    <sheetView topLeftCell="B1" workbookViewId="0">
      <selection activeCell="E2" sqref="E2"/>
    </sheetView>
  </sheetViews>
  <sheetFormatPr defaultRowHeight="15" x14ac:dyDescent="0.25"/>
  <cols>
    <col min="3" max="3" width="20.5703125" bestFit="1" customWidth="1"/>
    <col min="5" max="5" width="28.42578125" bestFit="1" customWidth="1"/>
  </cols>
  <sheetData>
    <row r="1" spans="3:7" x14ac:dyDescent="0.25">
      <c r="F1" t="s">
        <v>34</v>
      </c>
      <c r="G1" s="28">
        <f>(1+IRR(D2:D14))^12 -1</f>
        <v>0.31054123529644073</v>
      </c>
    </row>
    <row r="2" spans="3:7" x14ac:dyDescent="0.25">
      <c r="C2" t="s">
        <v>2</v>
      </c>
      <c r="D2" s="14">
        <v>-20000</v>
      </c>
      <c r="E2" t="s">
        <v>41</v>
      </c>
    </row>
    <row r="3" spans="3:7" x14ac:dyDescent="0.25">
      <c r="C3" t="s">
        <v>3</v>
      </c>
      <c r="D3" s="14">
        <v>0</v>
      </c>
    </row>
    <row r="4" spans="3:7" x14ac:dyDescent="0.25">
      <c r="C4" t="s">
        <v>4</v>
      </c>
      <c r="D4" s="14">
        <v>0</v>
      </c>
    </row>
    <row r="5" spans="3:7" x14ac:dyDescent="0.25">
      <c r="C5" t="s">
        <v>5</v>
      </c>
      <c r="D5" s="14">
        <v>0</v>
      </c>
    </row>
    <row r="6" spans="3:7" x14ac:dyDescent="0.25">
      <c r="C6" t="s">
        <v>6</v>
      </c>
      <c r="D6" s="14">
        <v>0</v>
      </c>
    </row>
    <row r="7" spans="3:7" x14ac:dyDescent="0.25">
      <c r="C7" t="s">
        <v>7</v>
      </c>
      <c r="D7" s="14">
        <v>-2500</v>
      </c>
      <c r="E7" t="s">
        <v>52</v>
      </c>
    </row>
    <row r="8" spans="3:7" x14ac:dyDescent="0.25">
      <c r="C8" t="s">
        <v>8</v>
      </c>
      <c r="D8" s="14">
        <v>-2500</v>
      </c>
      <c r="E8" t="s">
        <v>52</v>
      </c>
    </row>
    <row r="9" spans="3:7" x14ac:dyDescent="0.25">
      <c r="C9" t="s">
        <v>9</v>
      </c>
      <c r="D9" s="14">
        <v>0</v>
      </c>
    </row>
    <row r="10" spans="3:7" x14ac:dyDescent="0.25">
      <c r="C10" t="s">
        <v>10</v>
      </c>
      <c r="D10" s="14">
        <v>0</v>
      </c>
    </row>
    <row r="11" spans="3:7" x14ac:dyDescent="0.25">
      <c r="C11" t="s">
        <v>11</v>
      </c>
      <c r="D11" s="14">
        <v>0</v>
      </c>
    </row>
    <row r="12" spans="3:7" x14ac:dyDescent="0.25">
      <c r="C12" t="s">
        <v>12</v>
      </c>
      <c r="D12" s="14">
        <v>0</v>
      </c>
    </row>
    <row r="13" spans="3:7" x14ac:dyDescent="0.25">
      <c r="C13" t="s">
        <v>13</v>
      </c>
      <c r="D13" s="14">
        <v>0</v>
      </c>
    </row>
    <row r="14" spans="3:7" x14ac:dyDescent="0.25">
      <c r="C14" t="s">
        <v>14</v>
      </c>
      <c r="D14" s="14">
        <v>32000</v>
      </c>
      <c r="E14" t="s">
        <v>26</v>
      </c>
    </row>
    <row r="15" spans="3:7" x14ac:dyDescent="0.25">
      <c r="D15" s="30"/>
    </row>
    <row r="16" spans="3:7" x14ac:dyDescent="0.25">
      <c r="C16" s="30" t="s">
        <v>81</v>
      </c>
      <c r="D16" s="14">
        <f>-5000</f>
        <v>-5000</v>
      </c>
      <c r="E16" t="s">
        <v>91</v>
      </c>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086CF-5377-4F7A-A311-4398138BE4C8}">
  <sheetPr codeName="Sheet8">
    <tabColor rgb="FF00B0F0"/>
  </sheetPr>
  <dimension ref="C1:G16"/>
  <sheetViews>
    <sheetView topLeftCell="B1" workbookViewId="0">
      <selection activeCell="E17" sqref="E17"/>
    </sheetView>
  </sheetViews>
  <sheetFormatPr defaultRowHeight="15" x14ac:dyDescent="0.25"/>
  <cols>
    <col min="3" max="3" width="51.140625" bestFit="1" customWidth="1"/>
    <col min="5" max="5" width="13.85546875" bestFit="1" customWidth="1"/>
  </cols>
  <sheetData>
    <row r="1" spans="3:7" x14ac:dyDescent="0.25">
      <c r="F1" t="s">
        <v>34</v>
      </c>
      <c r="G1" s="28">
        <f>(1+IRR(D2:D14))^12 -1</f>
        <v>-5.5196710516699055E-2</v>
      </c>
    </row>
    <row r="2" spans="3:7" x14ac:dyDescent="0.25">
      <c r="C2" t="s">
        <v>2</v>
      </c>
      <c r="D2" s="14">
        <v>-15000</v>
      </c>
      <c r="E2" t="s">
        <v>50</v>
      </c>
    </row>
    <row r="3" spans="3:7" x14ac:dyDescent="0.25">
      <c r="C3" t="s">
        <v>3</v>
      </c>
      <c r="D3" s="14">
        <v>0</v>
      </c>
    </row>
    <row r="4" spans="3:7" x14ac:dyDescent="0.25">
      <c r="C4" t="s">
        <v>4</v>
      </c>
      <c r="D4" s="14">
        <v>0</v>
      </c>
    </row>
    <row r="5" spans="3:7" x14ac:dyDescent="0.25">
      <c r="C5" t="s">
        <v>5</v>
      </c>
      <c r="D5" s="14">
        <v>-2000</v>
      </c>
      <c r="E5" t="s">
        <v>53</v>
      </c>
    </row>
    <row r="6" spans="3:7" x14ac:dyDescent="0.25">
      <c r="C6" t="s">
        <v>6</v>
      </c>
      <c r="D6" s="14">
        <v>0</v>
      </c>
    </row>
    <row r="7" spans="3:7" x14ac:dyDescent="0.25">
      <c r="C7" t="s">
        <v>7</v>
      </c>
      <c r="D7" s="14">
        <v>-2000</v>
      </c>
      <c r="E7" t="s">
        <v>54</v>
      </c>
    </row>
    <row r="8" spans="3:7" x14ac:dyDescent="0.25">
      <c r="C8" t="s">
        <v>8</v>
      </c>
      <c r="D8" s="14">
        <v>0</v>
      </c>
    </row>
    <row r="9" spans="3:7" x14ac:dyDescent="0.25">
      <c r="C9" t="s">
        <v>9</v>
      </c>
      <c r="D9" s="14">
        <v>0</v>
      </c>
    </row>
    <row r="10" spans="3:7" x14ac:dyDescent="0.25">
      <c r="C10" t="s">
        <v>10</v>
      </c>
      <c r="D10" s="14">
        <v>0</v>
      </c>
    </row>
    <row r="11" spans="3:7" x14ac:dyDescent="0.25">
      <c r="C11" t="s">
        <v>11</v>
      </c>
      <c r="D11" s="14">
        <v>-1000</v>
      </c>
      <c r="E11" t="s">
        <v>55</v>
      </c>
    </row>
    <row r="12" spans="3:7" x14ac:dyDescent="0.25">
      <c r="C12" t="s">
        <v>12</v>
      </c>
      <c r="D12" s="14">
        <v>-1000</v>
      </c>
      <c r="E12" t="s">
        <v>55</v>
      </c>
    </row>
    <row r="13" spans="3:7" x14ac:dyDescent="0.25">
      <c r="C13" t="s">
        <v>13</v>
      </c>
      <c r="D13" s="14">
        <v>0</v>
      </c>
    </row>
    <row r="14" spans="3:7" x14ac:dyDescent="0.25">
      <c r="C14" t="s">
        <v>14</v>
      </c>
      <c r="D14" s="14">
        <v>20000</v>
      </c>
      <c r="E14" t="s">
        <v>41</v>
      </c>
    </row>
    <row r="15" spans="3:7" x14ac:dyDescent="0.25">
      <c r="D15" s="30"/>
    </row>
    <row r="16" spans="3:7" x14ac:dyDescent="0.25">
      <c r="C16" s="30" t="s">
        <v>81</v>
      </c>
      <c r="D16" s="14">
        <v>-6000</v>
      </c>
      <c r="E16" t="s">
        <v>89</v>
      </c>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A9611-1817-466F-A37F-9448EB5781C6}">
  <sheetPr codeName="Sheet9">
    <tabColor rgb="FF00B0F0"/>
  </sheetPr>
  <dimension ref="C1:G16"/>
  <sheetViews>
    <sheetView topLeftCell="B1" workbookViewId="0">
      <selection activeCell="G24" sqref="G24"/>
    </sheetView>
  </sheetViews>
  <sheetFormatPr defaultRowHeight="15" x14ac:dyDescent="0.25"/>
  <cols>
    <col min="3" max="3" width="51.140625" bestFit="1" customWidth="1"/>
    <col min="5" max="5" width="13.85546875" bestFit="1" customWidth="1"/>
  </cols>
  <sheetData>
    <row r="1" spans="3:7" x14ac:dyDescent="0.25">
      <c r="F1" t="s">
        <v>34</v>
      </c>
      <c r="G1" s="28" t="e">
        <f>(1+IRR(D2:D14))^12 -1</f>
        <v>#NUM!</v>
      </c>
    </row>
    <row r="2" spans="3:7" x14ac:dyDescent="0.25">
      <c r="C2" t="s">
        <v>2</v>
      </c>
      <c r="D2" s="14"/>
      <c r="E2" t="s">
        <v>43</v>
      </c>
    </row>
    <row r="3" spans="3:7" x14ac:dyDescent="0.25">
      <c r="C3" t="s">
        <v>3</v>
      </c>
      <c r="D3" s="14">
        <v>0</v>
      </c>
    </row>
    <row r="4" spans="3:7" x14ac:dyDescent="0.25">
      <c r="C4" t="s">
        <v>4</v>
      </c>
      <c r="D4" s="14">
        <v>0</v>
      </c>
    </row>
    <row r="5" spans="3:7" x14ac:dyDescent="0.25">
      <c r="C5" t="s">
        <v>5</v>
      </c>
      <c r="D5" s="14">
        <v>0</v>
      </c>
    </row>
    <row r="6" spans="3:7" x14ac:dyDescent="0.25">
      <c r="C6" t="s">
        <v>6</v>
      </c>
      <c r="D6" s="14">
        <v>0</v>
      </c>
    </row>
    <row r="7" spans="3:7" x14ac:dyDescent="0.25">
      <c r="C7" t="s">
        <v>7</v>
      </c>
      <c r="D7" s="14">
        <v>0</v>
      </c>
    </row>
    <row r="8" spans="3:7" x14ac:dyDescent="0.25">
      <c r="C8" t="s">
        <v>8</v>
      </c>
      <c r="D8" s="14">
        <v>0</v>
      </c>
    </row>
    <row r="9" spans="3:7" x14ac:dyDescent="0.25">
      <c r="C9" t="s">
        <v>9</v>
      </c>
      <c r="D9" s="14">
        <v>0</v>
      </c>
    </row>
    <row r="10" spans="3:7" x14ac:dyDescent="0.25">
      <c r="C10" t="s">
        <v>10</v>
      </c>
      <c r="D10" s="14">
        <v>0</v>
      </c>
    </row>
    <row r="11" spans="3:7" x14ac:dyDescent="0.25">
      <c r="C11" t="s">
        <v>11</v>
      </c>
      <c r="D11" s="14">
        <v>0</v>
      </c>
    </row>
    <row r="12" spans="3:7" x14ac:dyDescent="0.25">
      <c r="C12" t="s">
        <v>12</v>
      </c>
      <c r="D12" s="14">
        <v>0</v>
      </c>
    </row>
    <row r="13" spans="3:7" x14ac:dyDescent="0.25">
      <c r="C13" t="s">
        <v>13</v>
      </c>
      <c r="D13" s="14">
        <v>0</v>
      </c>
    </row>
    <row r="14" spans="3:7" x14ac:dyDescent="0.25">
      <c r="C14" t="s">
        <v>14</v>
      </c>
      <c r="D14" s="14">
        <v>0</v>
      </c>
      <c r="E14" t="s">
        <v>42</v>
      </c>
    </row>
    <row r="15" spans="3:7" x14ac:dyDescent="0.25">
      <c r="C15" s="30"/>
      <c r="D15" s="30"/>
    </row>
    <row r="16" spans="3:7" x14ac:dyDescent="0.25">
      <c r="C16" s="30" t="s">
        <v>81</v>
      </c>
      <c r="D16" s="14">
        <v>0</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29B37-367B-411C-BA26-7D6340E326EF}">
  <sheetPr codeName="Sheet10">
    <tabColor rgb="FF00B0F0"/>
  </sheetPr>
  <dimension ref="C1:G16"/>
  <sheetViews>
    <sheetView topLeftCell="B1" workbookViewId="0">
      <selection activeCell="E2" sqref="E2"/>
    </sheetView>
  </sheetViews>
  <sheetFormatPr defaultRowHeight="15" x14ac:dyDescent="0.25"/>
  <cols>
    <col min="3" max="3" width="51.140625" bestFit="1" customWidth="1"/>
    <col min="4" max="4" width="9.7109375" bestFit="1" customWidth="1"/>
    <col min="5" max="5" width="13.85546875" bestFit="1" customWidth="1"/>
  </cols>
  <sheetData>
    <row r="1" spans="3:7" x14ac:dyDescent="0.25">
      <c r="F1" t="s">
        <v>34</v>
      </c>
      <c r="G1" s="28" t="e">
        <f>(1+IRR(D2:D14))^12 -1</f>
        <v>#NUM!</v>
      </c>
    </row>
    <row r="2" spans="3:7" x14ac:dyDescent="0.25">
      <c r="C2" t="s">
        <v>2</v>
      </c>
      <c r="D2" s="14">
        <v>0</v>
      </c>
      <c r="E2" t="s">
        <v>44</v>
      </c>
    </row>
    <row r="3" spans="3:7" x14ac:dyDescent="0.25">
      <c r="C3" t="s">
        <v>3</v>
      </c>
      <c r="D3" s="14">
        <v>0</v>
      </c>
    </row>
    <row r="4" spans="3:7" x14ac:dyDescent="0.25">
      <c r="C4" t="s">
        <v>4</v>
      </c>
      <c r="D4" s="14">
        <v>0</v>
      </c>
    </row>
    <row r="5" spans="3:7" x14ac:dyDescent="0.25">
      <c r="C5" t="s">
        <v>5</v>
      </c>
      <c r="D5" s="14">
        <v>0</v>
      </c>
    </row>
    <row r="6" spans="3:7" x14ac:dyDescent="0.25">
      <c r="C6" t="s">
        <v>6</v>
      </c>
      <c r="D6" s="14">
        <v>0</v>
      </c>
    </row>
    <row r="7" spans="3:7" x14ac:dyDescent="0.25">
      <c r="C7" t="s">
        <v>7</v>
      </c>
      <c r="D7" s="14">
        <v>0</v>
      </c>
    </row>
    <row r="8" spans="3:7" x14ac:dyDescent="0.25">
      <c r="C8" t="s">
        <v>8</v>
      </c>
      <c r="D8" s="14">
        <v>0</v>
      </c>
    </row>
    <row r="9" spans="3:7" x14ac:dyDescent="0.25">
      <c r="C9" t="s">
        <v>9</v>
      </c>
      <c r="D9" s="14">
        <v>0</v>
      </c>
    </row>
    <row r="10" spans="3:7" x14ac:dyDescent="0.25">
      <c r="C10" t="s">
        <v>10</v>
      </c>
      <c r="D10" s="14">
        <v>0</v>
      </c>
    </row>
    <row r="11" spans="3:7" x14ac:dyDescent="0.25">
      <c r="C11" t="s">
        <v>11</v>
      </c>
      <c r="D11" s="14">
        <v>0</v>
      </c>
    </row>
    <row r="12" spans="3:7" x14ac:dyDescent="0.25">
      <c r="C12" t="s">
        <v>12</v>
      </c>
      <c r="D12" s="14">
        <v>0</v>
      </c>
    </row>
    <row r="13" spans="3:7" x14ac:dyDescent="0.25">
      <c r="C13" t="s">
        <v>13</v>
      </c>
      <c r="D13" s="14">
        <v>0</v>
      </c>
    </row>
    <row r="14" spans="3:7" x14ac:dyDescent="0.25">
      <c r="C14" t="s">
        <v>14</v>
      </c>
      <c r="D14" s="14">
        <v>0</v>
      </c>
      <c r="E14" t="s">
        <v>43</v>
      </c>
    </row>
    <row r="15" spans="3:7" x14ac:dyDescent="0.25">
      <c r="C15" s="30"/>
      <c r="D15" s="30"/>
    </row>
    <row r="16" spans="3:7" x14ac:dyDescent="0.25">
      <c r="C16" s="30" t="s">
        <v>81</v>
      </c>
      <c r="D16" s="14">
        <v>0</v>
      </c>
    </row>
  </sheetData>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E3DCC-DF40-492F-B334-EBE526CBE9F0}">
  <sheetPr codeName="Sheet11">
    <tabColor rgb="FF00B0F0"/>
  </sheetPr>
  <dimension ref="C1:G16"/>
  <sheetViews>
    <sheetView topLeftCell="B1" workbookViewId="0">
      <selection activeCell="E2" sqref="E2"/>
    </sheetView>
  </sheetViews>
  <sheetFormatPr defaultRowHeight="15" x14ac:dyDescent="0.25"/>
  <cols>
    <col min="3" max="3" width="51.140625" bestFit="1" customWidth="1"/>
    <col min="5" max="5" width="13.85546875" bestFit="1" customWidth="1"/>
  </cols>
  <sheetData>
    <row r="1" spans="3:7" x14ac:dyDescent="0.25">
      <c r="F1" t="s">
        <v>34</v>
      </c>
      <c r="G1" s="28" t="e">
        <f>(1+IRR(D2:D14))^12 -1</f>
        <v>#NUM!</v>
      </c>
    </row>
    <row r="2" spans="3:7" x14ac:dyDescent="0.25">
      <c r="C2" t="s">
        <v>2</v>
      </c>
      <c r="D2" s="14">
        <v>0</v>
      </c>
      <c r="E2" t="s">
        <v>45</v>
      </c>
    </row>
    <row r="3" spans="3:7" x14ac:dyDescent="0.25">
      <c r="C3" t="s">
        <v>3</v>
      </c>
      <c r="D3" s="14">
        <v>0</v>
      </c>
    </row>
    <row r="4" spans="3:7" x14ac:dyDescent="0.25">
      <c r="C4" t="s">
        <v>4</v>
      </c>
      <c r="D4" s="14">
        <v>0</v>
      </c>
    </row>
    <row r="5" spans="3:7" x14ac:dyDescent="0.25">
      <c r="C5" t="s">
        <v>5</v>
      </c>
      <c r="D5" s="14">
        <v>0</v>
      </c>
    </row>
    <row r="6" spans="3:7" x14ac:dyDescent="0.25">
      <c r="C6" t="s">
        <v>6</v>
      </c>
      <c r="D6" s="14">
        <v>0</v>
      </c>
    </row>
    <row r="7" spans="3:7" x14ac:dyDescent="0.25">
      <c r="C7" t="s">
        <v>7</v>
      </c>
      <c r="D7" s="14">
        <v>0</v>
      </c>
    </row>
    <row r="8" spans="3:7" x14ac:dyDescent="0.25">
      <c r="C8" t="s">
        <v>8</v>
      </c>
      <c r="D8" s="14">
        <v>0</v>
      </c>
    </row>
    <row r="9" spans="3:7" x14ac:dyDescent="0.25">
      <c r="C9" t="s">
        <v>9</v>
      </c>
      <c r="D9" s="14">
        <v>0</v>
      </c>
    </row>
    <row r="10" spans="3:7" x14ac:dyDescent="0.25">
      <c r="C10" t="s">
        <v>10</v>
      </c>
      <c r="D10" s="14">
        <v>0</v>
      </c>
    </row>
    <row r="11" spans="3:7" x14ac:dyDescent="0.25">
      <c r="C11" t="s">
        <v>11</v>
      </c>
      <c r="D11" s="14">
        <v>0</v>
      </c>
    </row>
    <row r="12" spans="3:7" x14ac:dyDescent="0.25">
      <c r="C12" t="s">
        <v>12</v>
      </c>
      <c r="D12" s="14">
        <v>0</v>
      </c>
    </row>
    <row r="13" spans="3:7" x14ac:dyDescent="0.25">
      <c r="C13" t="s">
        <v>13</v>
      </c>
      <c r="D13" s="14">
        <v>0</v>
      </c>
    </row>
    <row r="14" spans="3:7" x14ac:dyDescent="0.25">
      <c r="C14" t="s">
        <v>14</v>
      </c>
      <c r="D14" s="14">
        <v>0</v>
      </c>
      <c r="E14" t="s">
        <v>44</v>
      </c>
    </row>
    <row r="15" spans="3:7" x14ac:dyDescent="0.25">
      <c r="C15" s="30"/>
      <c r="D15" s="30"/>
    </row>
    <row r="16" spans="3:7" x14ac:dyDescent="0.25">
      <c r="C16" s="30" t="s">
        <v>81</v>
      </c>
      <c r="D16" s="14">
        <v>0</v>
      </c>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E1D26-9DE4-43BD-9174-055D40BAF68F}">
  <sheetPr codeName="Sheet12">
    <tabColor rgb="FF00B0F0"/>
  </sheetPr>
  <dimension ref="C1:G16"/>
  <sheetViews>
    <sheetView topLeftCell="B1" workbookViewId="0">
      <selection activeCell="E3" sqref="E3"/>
    </sheetView>
  </sheetViews>
  <sheetFormatPr defaultRowHeight="15" x14ac:dyDescent="0.25"/>
  <cols>
    <col min="3" max="3" width="51.140625" bestFit="1" customWidth="1"/>
    <col min="4" max="4" width="9.7109375" bestFit="1" customWidth="1"/>
    <col min="5" max="5" width="13.85546875" bestFit="1" customWidth="1"/>
  </cols>
  <sheetData>
    <row r="1" spans="3:7" x14ac:dyDescent="0.25">
      <c r="F1" t="s">
        <v>34</v>
      </c>
      <c r="G1" s="28" t="e">
        <f>(1+IRR(D2:D14))^12 -1</f>
        <v>#NUM!</v>
      </c>
    </row>
    <row r="2" spans="3:7" x14ac:dyDescent="0.25">
      <c r="C2" t="s">
        <v>2</v>
      </c>
      <c r="D2" s="14">
        <v>0</v>
      </c>
      <c r="E2" t="s">
        <v>46</v>
      </c>
    </row>
    <row r="3" spans="3:7" x14ac:dyDescent="0.25">
      <c r="C3" t="s">
        <v>3</v>
      </c>
      <c r="D3" s="14">
        <v>0</v>
      </c>
    </row>
    <row r="4" spans="3:7" x14ac:dyDescent="0.25">
      <c r="C4" t="s">
        <v>4</v>
      </c>
      <c r="D4" s="14">
        <v>0</v>
      </c>
    </row>
    <row r="5" spans="3:7" x14ac:dyDescent="0.25">
      <c r="C5" t="s">
        <v>5</v>
      </c>
      <c r="D5" s="14">
        <v>0</v>
      </c>
    </row>
    <row r="6" spans="3:7" x14ac:dyDescent="0.25">
      <c r="C6" t="s">
        <v>6</v>
      </c>
      <c r="D6" s="14">
        <v>0</v>
      </c>
    </row>
    <row r="7" spans="3:7" x14ac:dyDescent="0.25">
      <c r="C7" t="s">
        <v>7</v>
      </c>
      <c r="D7" s="14">
        <v>0</v>
      </c>
    </row>
    <row r="8" spans="3:7" x14ac:dyDescent="0.25">
      <c r="C8" t="s">
        <v>8</v>
      </c>
      <c r="D8" s="14">
        <v>0</v>
      </c>
    </row>
    <row r="9" spans="3:7" x14ac:dyDescent="0.25">
      <c r="C9" t="s">
        <v>9</v>
      </c>
      <c r="D9" s="14">
        <v>0</v>
      </c>
    </row>
    <row r="10" spans="3:7" x14ac:dyDescent="0.25">
      <c r="C10" t="s">
        <v>10</v>
      </c>
      <c r="D10" s="14">
        <v>0</v>
      </c>
    </row>
    <row r="11" spans="3:7" x14ac:dyDescent="0.25">
      <c r="C11" t="s">
        <v>11</v>
      </c>
      <c r="D11" s="14">
        <v>0</v>
      </c>
    </row>
    <row r="12" spans="3:7" x14ac:dyDescent="0.25">
      <c r="C12" t="s">
        <v>12</v>
      </c>
      <c r="D12" s="14">
        <v>0</v>
      </c>
    </row>
    <row r="13" spans="3:7" x14ac:dyDescent="0.25">
      <c r="C13" t="s">
        <v>13</v>
      </c>
      <c r="D13" s="14">
        <v>0</v>
      </c>
    </row>
    <row r="14" spans="3:7" x14ac:dyDescent="0.25">
      <c r="C14" t="s">
        <v>14</v>
      </c>
      <c r="D14" s="14">
        <v>0</v>
      </c>
      <c r="E14" t="s">
        <v>45</v>
      </c>
    </row>
    <row r="15" spans="3:7" x14ac:dyDescent="0.25">
      <c r="C15" s="30"/>
      <c r="D15" s="30"/>
    </row>
    <row r="16" spans="3:7" x14ac:dyDescent="0.25">
      <c r="C16" s="30" t="s">
        <v>81</v>
      </c>
      <c r="D16" s="14">
        <v>0</v>
      </c>
    </row>
  </sheetData>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64294-972B-48B0-84D0-5E5534472824}">
  <sheetPr codeName="Sheet13">
    <tabColor rgb="FF00B0F0"/>
  </sheetPr>
  <dimension ref="C1:G16"/>
  <sheetViews>
    <sheetView topLeftCell="B1" workbookViewId="0">
      <selection activeCell="E2" sqref="E2"/>
    </sheetView>
  </sheetViews>
  <sheetFormatPr defaultRowHeight="15" x14ac:dyDescent="0.25"/>
  <cols>
    <col min="3" max="3" width="51.140625" bestFit="1" customWidth="1"/>
    <col min="4" max="4" width="10.7109375" bestFit="1" customWidth="1"/>
    <col min="5" max="5" width="13.85546875" bestFit="1" customWidth="1"/>
  </cols>
  <sheetData>
    <row r="1" spans="3:7" x14ac:dyDescent="0.25">
      <c r="F1" t="s">
        <v>34</v>
      </c>
      <c r="G1" s="28" t="e">
        <f>(1+IRR(D2:D14))^12 -1</f>
        <v>#NUM!</v>
      </c>
    </row>
    <row r="2" spans="3:7" x14ac:dyDescent="0.25">
      <c r="C2" t="s">
        <v>2</v>
      </c>
      <c r="D2" s="14">
        <v>0</v>
      </c>
      <c r="E2" t="s">
        <v>47</v>
      </c>
    </row>
    <row r="3" spans="3:7" x14ac:dyDescent="0.25">
      <c r="C3" t="s">
        <v>3</v>
      </c>
      <c r="D3" s="14">
        <v>0</v>
      </c>
    </row>
    <row r="4" spans="3:7" x14ac:dyDescent="0.25">
      <c r="C4" t="s">
        <v>4</v>
      </c>
      <c r="D4" s="14">
        <v>0</v>
      </c>
    </row>
    <row r="5" spans="3:7" x14ac:dyDescent="0.25">
      <c r="C5" t="s">
        <v>5</v>
      </c>
      <c r="D5" s="14">
        <v>0</v>
      </c>
    </row>
    <row r="6" spans="3:7" x14ac:dyDescent="0.25">
      <c r="C6" t="s">
        <v>6</v>
      </c>
      <c r="D6" s="14">
        <v>0</v>
      </c>
    </row>
    <row r="7" spans="3:7" x14ac:dyDescent="0.25">
      <c r="C7" t="s">
        <v>7</v>
      </c>
      <c r="D7" s="14">
        <v>0</v>
      </c>
    </row>
    <row r="8" spans="3:7" x14ac:dyDescent="0.25">
      <c r="C8" t="s">
        <v>8</v>
      </c>
      <c r="D8" s="14">
        <v>0</v>
      </c>
    </row>
    <row r="9" spans="3:7" x14ac:dyDescent="0.25">
      <c r="C9" t="s">
        <v>9</v>
      </c>
      <c r="D9" s="14">
        <v>0</v>
      </c>
    </row>
    <row r="10" spans="3:7" x14ac:dyDescent="0.25">
      <c r="C10" t="s">
        <v>10</v>
      </c>
      <c r="D10" s="14">
        <v>0</v>
      </c>
    </row>
    <row r="11" spans="3:7" x14ac:dyDescent="0.25">
      <c r="C11" t="s">
        <v>11</v>
      </c>
      <c r="D11" s="14">
        <v>0</v>
      </c>
    </row>
    <row r="12" spans="3:7" x14ac:dyDescent="0.25">
      <c r="C12" t="s">
        <v>12</v>
      </c>
      <c r="D12" s="14">
        <v>0</v>
      </c>
    </row>
    <row r="13" spans="3:7" x14ac:dyDescent="0.25">
      <c r="C13" t="s">
        <v>13</v>
      </c>
      <c r="D13" s="14">
        <v>0</v>
      </c>
    </row>
    <row r="14" spans="3:7" x14ac:dyDescent="0.25">
      <c r="C14" t="s">
        <v>14</v>
      </c>
      <c r="D14" s="14">
        <v>0</v>
      </c>
      <c r="E14" t="s">
        <v>46</v>
      </c>
    </row>
    <row r="15" spans="3:7" x14ac:dyDescent="0.25">
      <c r="C15" s="30"/>
      <c r="D15" s="30"/>
    </row>
    <row r="16" spans="3:7" x14ac:dyDescent="0.25">
      <c r="C16" s="30" t="s">
        <v>81</v>
      </c>
      <c r="D16" s="14">
        <v>0</v>
      </c>
    </row>
  </sheetData>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07FB4-0715-4097-95DA-679A594BF7A7}">
  <sheetPr codeName="Sheet14">
    <tabColor rgb="FF00B0F0"/>
  </sheetPr>
  <dimension ref="C1:G16"/>
  <sheetViews>
    <sheetView topLeftCell="B1" workbookViewId="0">
      <selection activeCell="E2" sqref="E2"/>
    </sheetView>
  </sheetViews>
  <sheetFormatPr defaultRowHeight="15" x14ac:dyDescent="0.25"/>
  <cols>
    <col min="3" max="3" width="51.140625" bestFit="1" customWidth="1"/>
    <col min="4" max="4" width="9.7109375" bestFit="1" customWidth="1"/>
    <col min="5" max="5" width="13.85546875" bestFit="1" customWidth="1"/>
  </cols>
  <sheetData>
    <row r="1" spans="3:7" x14ac:dyDescent="0.25">
      <c r="F1" t="s">
        <v>34</v>
      </c>
      <c r="G1" s="28" t="e">
        <f>(1+IRR(D2:D14))^12 -1</f>
        <v>#NUM!</v>
      </c>
    </row>
    <row r="2" spans="3:7" x14ac:dyDescent="0.25">
      <c r="C2" t="s">
        <v>2</v>
      </c>
      <c r="D2" s="14">
        <v>0</v>
      </c>
      <c r="E2" t="s">
        <v>48</v>
      </c>
    </row>
    <row r="3" spans="3:7" x14ac:dyDescent="0.25">
      <c r="C3" t="s">
        <v>3</v>
      </c>
      <c r="D3" s="14">
        <v>0</v>
      </c>
    </row>
    <row r="4" spans="3:7" x14ac:dyDescent="0.25">
      <c r="C4" t="s">
        <v>4</v>
      </c>
      <c r="D4" s="14">
        <v>0</v>
      </c>
    </row>
    <row r="5" spans="3:7" x14ac:dyDescent="0.25">
      <c r="C5" t="s">
        <v>5</v>
      </c>
      <c r="D5" s="14">
        <v>0</v>
      </c>
    </row>
    <row r="6" spans="3:7" x14ac:dyDescent="0.25">
      <c r="C6" t="s">
        <v>6</v>
      </c>
      <c r="D6" s="14">
        <v>0</v>
      </c>
    </row>
    <row r="7" spans="3:7" x14ac:dyDescent="0.25">
      <c r="C7" t="s">
        <v>7</v>
      </c>
      <c r="D7" s="14">
        <v>0</v>
      </c>
    </row>
    <row r="8" spans="3:7" x14ac:dyDescent="0.25">
      <c r="C8" t="s">
        <v>8</v>
      </c>
      <c r="D8" s="14">
        <v>0</v>
      </c>
    </row>
    <row r="9" spans="3:7" x14ac:dyDescent="0.25">
      <c r="C9" t="s">
        <v>9</v>
      </c>
      <c r="D9" s="14">
        <v>0</v>
      </c>
    </row>
    <row r="10" spans="3:7" x14ac:dyDescent="0.25">
      <c r="C10" t="s">
        <v>10</v>
      </c>
      <c r="D10" s="14">
        <v>0</v>
      </c>
    </row>
    <row r="11" spans="3:7" x14ac:dyDescent="0.25">
      <c r="C11" t="s">
        <v>11</v>
      </c>
      <c r="D11" s="14">
        <v>0</v>
      </c>
    </row>
    <row r="12" spans="3:7" x14ac:dyDescent="0.25">
      <c r="C12" t="s">
        <v>12</v>
      </c>
      <c r="D12" s="14">
        <v>0</v>
      </c>
    </row>
    <row r="13" spans="3:7" x14ac:dyDescent="0.25">
      <c r="C13" t="s">
        <v>13</v>
      </c>
      <c r="D13" s="14">
        <v>0</v>
      </c>
    </row>
    <row r="14" spans="3:7" x14ac:dyDescent="0.25">
      <c r="C14" t="s">
        <v>14</v>
      </c>
      <c r="D14" s="14">
        <v>0</v>
      </c>
      <c r="E14" t="s">
        <v>47</v>
      </c>
    </row>
    <row r="15" spans="3:7" x14ac:dyDescent="0.25">
      <c r="C15" s="30"/>
      <c r="D15" s="30"/>
    </row>
    <row r="16" spans="3:7" x14ac:dyDescent="0.25">
      <c r="C16" s="30" t="s">
        <v>81</v>
      </c>
      <c r="D16" s="14">
        <v>0</v>
      </c>
    </row>
  </sheetData>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7E617-B209-444C-ACE2-1788B666ECD6}">
  <sheetPr codeName="Sheet15">
    <tabColor rgb="FF00B0F0"/>
  </sheetPr>
  <dimension ref="C1:G16"/>
  <sheetViews>
    <sheetView topLeftCell="B1" workbookViewId="0">
      <selection activeCell="E2" sqref="E2"/>
    </sheetView>
  </sheetViews>
  <sheetFormatPr defaultRowHeight="15" x14ac:dyDescent="0.25"/>
  <cols>
    <col min="3" max="3" width="51.140625" bestFit="1" customWidth="1"/>
    <col min="4" max="4" width="10.7109375" bestFit="1" customWidth="1"/>
    <col min="5" max="5" width="13.85546875" bestFit="1" customWidth="1"/>
  </cols>
  <sheetData>
    <row r="1" spans="3:7" x14ac:dyDescent="0.25">
      <c r="F1" t="s">
        <v>34</v>
      </c>
      <c r="G1" s="28" t="e">
        <f>(1+IRR(D2:D14))^12 -1</f>
        <v>#NUM!</v>
      </c>
    </row>
    <row r="2" spans="3:7" x14ac:dyDescent="0.25">
      <c r="C2" t="s">
        <v>2</v>
      </c>
      <c r="D2" s="14">
        <v>0</v>
      </c>
      <c r="E2" t="s">
        <v>49</v>
      </c>
    </row>
    <row r="3" spans="3:7" x14ac:dyDescent="0.25">
      <c r="C3" t="s">
        <v>3</v>
      </c>
      <c r="D3" s="14">
        <v>0</v>
      </c>
    </row>
    <row r="4" spans="3:7" x14ac:dyDescent="0.25">
      <c r="C4" t="s">
        <v>4</v>
      </c>
      <c r="D4" s="14">
        <v>0</v>
      </c>
    </row>
    <row r="5" spans="3:7" x14ac:dyDescent="0.25">
      <c r="C5" t="s">
        <v>5</v>
      </c>
      <c r="D5" s="14">
        <v>0</v>
      </c>
    </row>
    <row r="6" spans="3:7" x14ac:dyDescent="0.25">
      <c r="C6" t="s">
        <v>6</v>
      </c>
      <c r="D6" s="14">
        <v>0</v>
      </c>
    </row>
    <row r="7" spans="3:7" x14ac:dyDescent="0.25">
      <c r="C7" t="s">
        <v>7</v>
      </c>
      <c r="D7" s="14">
        <v>0</v>
      </c>
    </row>
    <row r="8" spans="3:7" x14ac:dyDescent="0.25">
      <c r="C8" t="s">
        <v>8</v>
      </c>
      <c r="D8" s="14">
        <v>0</v>
      </c>
    </row>
    <row r="9" spans="3:7" x14ac:dyDescent="0.25">
      <c r="C9" t="s">
        <v>9</v>
      </c>
      <c r="D9" s="14">
        <v>0</v>
      </c>
    </row>
    <row r="10" spans="3:7" x14ac:dyDescent="0.25">
      <c r="C10" t="s">
        <v>10</v>
      </c>
      <c r="D10" s="14">
        <v>0</v>
      </c>
    </row>
    <row r="11" spans="3:7" x14ac:dyDescent="0.25">
      <c r="C11" t="s">
        <v>11</v>
      </c>
      <c r="D11" s="14">
        <v>0</v>
      </c>
    </row>
    <row r="12" spans="3:7" x14ac:dyDescent="0.25">
      <c r="C12" t="s">
        <v>12</v>
      </c>
      <c r="D12" s="14">
        <v>0</v>
      </c>
    </row>
    <row r="13" spans="3:7" x14ac:dyDescent="0.25">
      <c r="C13" t="s">
        <v>13</v>
      </c>
      <c r="D13" s="14">
        <v>0</v>
      </c>
    </row>
    <row r="14" spans="3:7" x14ac:dyDescent="0.25">
      <c r="C14" t="s">
        <v>14</v>
      </c>
      <c r="D14" s="14">
        <v>0</v>
      </c>
      <c r="E14" t="s">
        <v>48</v>
      </c>
    </row>
    <row r="15" spans="3:7" x14ac:dyDescent="0.25">
      <c r="C15" s="30"/>
      <c r="D15" s="30"/>
    </row>
    <row r="16" spans="3:7" x14ac:dyDescent="0.25">
      <c r="C16" s="30" t="s">
        <v>81</v>
      </c>
      <c r="D16" s="14">
        <v>0</v>
      </c>
    </row>
  </sheetData>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0E240-9762-4A4A-8652-8AF21BE38FC1}">
  <sheetPr codeName="Sheet16">
    <tabColor rgb="FF00B0F0"/>
  </sheetPr>
  <dimension ref="C1:G16"/>
  <sheetViews>
    <sheetView workbookViewId="0">
      <selection activeCell="E3" sqref="E3"/>
    </sheetView>
  </sheetViews>
  <sheetFormatPr defaultRowHeight="15" x14ac:dyDescent="0.25"/>
  <cols>
    <col min="3" max="3" width="51.140625" bestFit="1" customWidth="1"/>
    <col min="4" max="4" width="10.7109375" bestFit="1" customWidth="1"/>
    <col min="5" max="5" width="13.85546875" bestFit="1" customWidth="1"/>
  </cols>
  <sheetData>
    <row r="1" spans="3:7" x14ac:dyDescent="0.25">
      <c r="F1" t="s">
        <v>34</v>
      </c>
      <c r="G1" s="28" t="e">
        <f>(1+IRR(D2:D14))^12 -1</f>
        <v>#NUM!</v>
      </c>
    </row>
    <row r="2" spans="3:7" x14ac:dyDescent="0.25">
      <c r="C2" t="s">
        <v>2</v>
      </c>
      <c r="D2" s="14">
        <v>0</v>
      </c>
      <c r="E2" t="s">
        <v>94</v>
      </c>
    </row>
    <row r="3" spans="3:7" x14ac:dyDescent="0.25">
      <c r="C3" t="s">
        <v>3</v>
      </c>
      <c r="D3" s="14">
        <v>0</v>
      </c>
    </row>
    <row r="4" spans="3:7" x14ac:dyDescent="0.25">
      <c r="C4" t="s">
        <v>4</v>
      </c>
      <c r="D4" s="14">
        <v>0</v>
      </c>
    </row>
    <row r="5" spans="3:7" x14ac:dyDescent="0.25">
      <c r="C5" t="s">
        <v>5</v>
      </c>
      <c r="D5" s="14">
        <v>0</v>
      </c>
    </row>
    <row r="6" spans="3:7" x14ac:dyDescent="0.25">
      <c r="C6" t="s">
        <v>6</v>
      </c>
      <c r="D6" s="14">
        <v>0</v>
      </c>
    </row>
    <row r="7" spans="3:7" x14ac:dyDescent="0.25">
      <c r="C7" t="s">
        <v>7</v>
      </c>
      <c r="D7" s="14">
        <v>0</v>
      </c>
    </row>
    <row r="8" spans="3:7" x14ac:dyDescent="0.25">
      <c r="C8" t="s">
        <v>8</v>
      </c>
      <c r="D8" s="14">
        <v>0</v>
      </c>
    </row>
    <row r="9" spans="3:7" x14ac:dyDescent="0.25">
      <c r="C9" t="s">
        <v>9</v>
      </c>
      <c r="D9" s="14">
        <v>0</v>
      </c>
    </row>
    <row r="10" spans="3:7" x14ac:dyDescent="0.25">
      <c r="C10" t="s">
        <v>10</v>
      </c>
      <c r="D10" s="14">
        <v>0</v>
      </c>
    </row>
    <row r="11" spans="3:7" x14ac:dyDescent="0.25">
      <c r="C11" t="s">
        <v>11</v>
      </c>
      <c r="D11" s="14">
        <v>0</v>
      </c>
    </row>
    <row r="12" spans="3:7" x14ac:dyDescent="0.25">
      <c r="C12" t="s">
        <v>12</v>
      </c>
      <c r="D12" s="14">
        <v>0</v>
      </c>
    </row>
    <row r="13" spans="3:7" x14ac:dyDescent="0.25">
      <c r="C13" t="s">
        <v>13</v>
      </c>
      <c r="D13" s="14">
        <v>0</v>
      </c>
    </row>
    <row r="14" spans="3:7" x14ac:dyDescent="0.25">
      <c r="C14" t="s">
        <v>14</v>
      </c>
      <c r="D14" s="14">
        <v>0</v>
      </c>
      <c r="E14" t="s">
        <v>49</v>
      </c>
    </row>
    <row r="15" spans="3:7" x14ac:dyDescent="0.25">
      <c r="C15" s="30"/>
      <c r="D15" s="30"/>
    </row>
    <row r="16" spans="3:7" x14ac:dyDescent="0.25">
      <c r="C16" s="30" t="s">
        <v>81</v>
      </c>
      <c r="D16" s="14">
        <v>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Instructions</vt:lpstr>
      <vt:lpstr>Indices</vt:lpstr>
      <vt:lpstr>Rendements</vt:lpstr>
      <vt:lpstr>Gains et contributions</vt:lpstr>
      <vt:lpstr>TRI 2021</vt:lpstr>
      <vt:lpstr>TRI 2020</vt:lpstr>
      <vt:lpstr>TRI 2019</vt:lpstr>
      <vt:lpstr>TRI 2018</vt:lpstr>
      <vt:lpstr>TRI 2017</vt:lpstr>
      <vt:lpstr>TRI 2016</vt:lpstr>
      <vt:lpstr>TRI 2015</vt:lpstr>
      <vt:lpstr>TRI 2014</vt:lpstr>
      <vt:lpstr>TRI 2013</vt:lpstr>
      <vt:lpstr>TRI 2012</vt:lpstr>
      <vt:lpstr>TRI 2011</vt:lpstr>
      <vt:lpstr>TRI 2010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Anthony</cp:lastModifiedBy>
  <dcterms:created xsi:type="dcterms:W3CDTF">2015-06-05T18:19:34Z</dcterms:created>
  <dcterms:modified xsi:type="dcterms:W3CDTF">2022-05-04T12:22:18Z</dcterms:modified>
</cp:coreProperties>
</file>